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2880" documentId="8_{6744B508-08E9-465E-BC81-09EC604BE617}" xr6:coauthVersionLast="47" xr6:coauthVersionMax="47" xr10:uidLastSave="{943EFCA2-22A1-4A21-8C9D-707C95F26AD3}"/>
  <bookViews>
    <workbookView xWindow="0" yWindow="0" windowWidth="25800" windowHeight="21000" tabRatio="888" activeTab="3" xr2:uid="{F957F52A-736B-4987-B368-D2DF2DD827F2}"/>
  </bookViews>
  <sheets>
    <sheet name="A3_Vodorovne konstrukce" sheetId="17" r:id="rId1"/>
    <sheet name="A3_Skladane stropy" sheetId="20" r:id="rId2"/>
    <sheet name="A3_Prefa stropy" sheetId="21" r:id="rId3"/>
    <sheet name="A3_Rekapitulace" sheetId="19" r:id="rId4"/>
  </sheets>
  <definedNames>
    <definedName name="_xlnm._FilterDatabase" localSheetId="2" hidden="1">'A3_Prefa stropy'!$A$2:$P$25</definedName>
    <definedName name="_xlnm._FilterDatabase" localSheetId="3" hidden="1">A3_Rekapitulace!#REF!</definedName>
    <definedName name="_xlnm._FilterDatabase" localSheetId="1" hidden="1">'A3_Skladane stropy'!$A$2:$AD$94</definedName>
    <definedName name="_xlnm._FilterDatabase" localSheetId="0" hidden="1">'A3_Vodorovne konstrukce'!$A$2:$AC$321</definedName>
    <definedName name="_xlnm.Print_Titles" localSheetId="2">'A3_Prefa stropy'!$3:$8</definedName>
    <definedName name="_xlnm.Print_Titles" localSheetId="1">'A3_Skladane stropy'!$3:$8</definedName>
    <definedName name="_xlnm.Print_Titles" localSheetId="0">'A3_Vodorovne konstrukce'!$3:$8</definedName>
  </definedNames>
  <calcPr calcId="191029" concurrentCalc="0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3" i="21" l="1"/>
  <c r="M22" i="21"/>
  <c r="M21" i="21"/>
  <c r="M20" i="21"/>
  <c r="M19" i="21"/>
  <c r="M18" i="21"/>
  <c r="M17" i="21"/>
  <c r="M16" i="21"/>
  <c r="M15" i="21"/>
  <c r="M14" i="21"/>
  <c r="M13" i="21"/>
  <c r="M11" i="21"/>
  <c r="P25" i="21"/>
  <c r="P24" i="21"/>
  <c r="P23" i="21"/>
  <c r="P22" i="21"/>
  <c r="P21" i="21"/>
  <c r="P20" i="21"/>
  <c r="P19" i="21"/>
  <c r="P18" i="21"/>
  <c r="P17" i="21"/>
  <c r="P16" i="21"/>
  <c r="P15" i="21"/>
  <c r="P14" i="21"/>
  <c r="P13" i="21"/>
  <c r="P12" i="21"/>
  <c r="P10" i="21"/>
  <c r="P11" i="21"/>
  <c r="O25" i="21"/>
  <c r="O24" i="21"/>
  <c r="O23" i="21"/>
  <c r="O22" i="21"/>
  <c r="O21" i="21"/>
  <c r="O20" i="21"/>
  <c r="O19" i="21"/>
  <c r="O18" i="21"/>
  <c r="O17" i="21"/>
  <c r="O16" i="21"/>
  <c r="O15" i="21"/>
  <c r="O14" i="21"/>
  <c r="O13" i="21"/>
  <c r="O12" i="21"/>
  <c r="O10" i="21"/>
  <c r="O11" i="21"/>
  <c r="N25" i="21"/>
  <c r="N24" i="21"/>
  <c r="N23" i="21"/>
  <c r="N22" i="21"/>
  <c r="N21" i="21"/>
  <c r="N20" i="21"/>
  <c r="N19" i="21"/>
  <c r="N18" i="21"/>
  <c r="N17" i="21"/>
  <c r="N16" i="21"/>
  <c r="N15" i="21"/>
  <c r="N14" i="21"/>
  <c r="N13" i="21"/>
  <c r="N12" i="21"/>
  <c r="N10" i="21"/>
  <c r="N11" i="21"/>
  <c r="L23" i="21"/>
  <c r="L22" i="21"/>
  <c r="L21" i="21"/>
  <c r="L20" i="21"/>
  <c r="L19" i="21"/>
  <c r="L18" i="21"/>
  <c r="L17" i="21"/>
  <c r="L16" i="21"/>
  <c r="L15" i="21"/>
  <c r="L14" i="21"/>
  <c r="L13" i="21"/>
  <c r="L11" i="21"/>
  <c r="P26" i="21"/>
  <c r="O26" i="21"/>
  <c r="N26" i="21"/>
  <c r="AC134" i="17"/>
  <c r="AA134" i="17"/>
  <c r="Y134" i="17"/>
  <c r="Z134" i="17"/>
  <c r="AA133" i="17"/>
  <c r="AC133" i="17"/>
  <c r="Y133" i="17"/>
  <c r="Z133" i="17"/>
  <c r="L61" i="19"/>
  <c r="AC321" i="17"/>
  <c r="AB321" i="17"/>
  <c r="AA321" i="17"/>
  <c r="Y321" i="17"/>
  <c r="Z321" i="17"/>
  <c r="O132" i="17"/>
  <c r="N132" i="17"/>
  <c r="T131" i="17"/>
  <c r="N131" i="17"/>
  <c r="O131" i="17"/>
  <c r="AC132" i="17"/>
  <c r="AB132" i="17"/>
  <c r="AA132" i="17"/>
  <c r="Y132" i="17"/>
  <c r="Z132" i="17"/>
  <c r="AC131" i="17"/>
  <c r="AB131" i="17"/>
  <c r="AA131" i="17"/>
  <c r="Y131" i="17"/>
  <c r="Z131" i="17"/>
  <c r="AC45" i="17"/>
  <c r="AB45" i="17"/>
  <c r="AA45" i="17"/>
  <c r="Y45" i="17"/>
  <c r="Z45" i="17"/>
  <c r="AA94" i="20"/>
  <c r="AA93" i="20"/>
  <c r="AA92" i="20"/>
  <c r="AA91" i="20"/>
  <c r="AA90" i="20"/>
  <c r="AA89" i="20"/>
  <c r="AA88" i="20"/>
  <c r="AA87" i="20"/>
  <c r="AA86" i="20"/>
  <c r="AA85" i="20"/>
  <c r="AA84" i="20"/>
  <c r="AA83" i="20"/>
  <c r="AA82" i="20"/>
  <c r="AA81" i="20"/>
  <c r="AA80" i="20"/>
  <c r="AA79" i="20"/>
  <c r="AA78" i="20"/>
  <c r="AA77" i="20"/>
  <c r="AA76" i="20"/>
  <c r="AA75" i="20"/>
  <c r="AA74" i="20"/>
  <c r="AA73" i="20"/>
  <c r="AA72" i="20"/>
  <c r="AA71" i="20"/>
  <c r="AA70" i="20"/>
  <c r="AA69" i="20"/>
  <c r="AA68" i="20"/>
  <c r="AA67" i="20"/>
  <c r="AA66" i="20"/>
  <c r="AA65" i="20"/>
  <c r="AA64" i="20"/>
  <c r="AA63" i="20"/>
  <c r="AA62" i="20"/>
  <c r="AA61" i="20"/>
  <c r="AA60" i="20"/>
  <c r="AA59" i="20"/>
  <c r="AA58" i="20"/>
  <c r="AA57" i="20"/>
  <c r="AA56" i="20"/>
  <c r="AA55" i="20"/>
  <c r="AA54" i="20"/>
  <c r="AA53" i="20"/>
  <c r="AA52" i="20"/>
  <c r="AA51" i="20"/>
  <c r="AA50" i="20"/>
  <c r="AA49" i="20"/>
  <c r="AA48" i="20"/>
  <c r="AA47" i="20"/>
  <c r="AA46" i="20"/>
  <c r="AA45" i="20"/>
  <c r="AA44" i="20"/>
  <c r="AA43" i="20"/>
  <c r="AA42" i="20"/>
  <c r="AA41" i="20"/>
  <c r="AA40" i="20"/>
  <c r="AA39" i="20"/>
  <c r="AA38" i="20"/>
  <c r="AA37" i="20"/>
  <c r="AA36" i="20"/>
  <c r="AA35" i="20"/>
  <c r="AA34" i="20"/>
  <c r="AA33" i="20"/>
  <c r="AA32" i="20"/>
  <c r="AA31" i="20"/>
  <c r="AA30" i="20"/>
  <c r="AA29" i="20"/>
  <c r="AA28" i="20"/>
  <c r="AA27" i="20"/>
  <c r="AA26" i="20"/>
  <c r="AA25" i="20"/>
  <c r="AA24" i="20"/>
  <c r="AA23" i="20"/>
  <c r="AA22" i="20"/>
  <c r="AA21" i="20"/>
  <c r="AA20" i="20"/>
  <c r="AA19" i="20"/>
  <c r="AA18" i="20"/>
  <c r="AA17" i="20"/>
  <c r="AA16" i="20"/>
  <c r="AA15" i="20"/>
  <c r="AA14" i="20"/>
  <c r="AA13" i="20"/>
  <c r="AA12" i="20"/>
  <c r="AA10" i="20"/>
  <c r="AA11" i="20"/>
  <c r="G319" i="17"/>
  <c r="I320" i="17"/>
  <c r="U315" i="17"/>
  <c r="U314" i="17"/>
  <c r="G314" i="17"/>
  <c r="G313" i="17"/>
  <c r="U311" i="17"/>
  <c r="U310" i="17"/>
  <c r="U309" i="17"/>
  <c r="U308" i="17"/>
  <c r="G297" i="17"/>
  <c r="U291" i="17"/>
  <c r="G291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AC320" i="17"/>
  <c r="AB320" i="17"/>
  <c r="AA320" i="17"/>
  <c r="Y320" i="17"/>
  <c r="Z320" i="17"/>
  <c r="AC319" i="17"/>
  <c r="AB319" i="17"/>
  <c r="AA319" i="17"/>
  <c r="Y319" i="17"/>
  <c r="Z319" i="17"/>
  <c r="AC318" i="17"/>
  <c r="AB318" i="17"/>
  <c r="AA318" i="17"/>
  <c r="Y318" i="17"/>
  <c r="Z318" i="17"/>
  <c r="AC317" i="17"/>
  <c r="AB317" i="17"/>
  <c r="AA317" i="17"/>
  <c r="Y317" i="17"/>
  <c r="Z317" i="17"/>
  <c r="AC316" i="17"/>
  <c r="AB316" i="17"/>
  <c r="AA316" i="17"/>
  <c r="Y316" i="17"/>
  <c r="Z316" i="17"/>
  <c r="AC315" i="17"/>
  <c r="AB315" i="17"/>
  <c r="AA315" i="17"/>
  <c r="Y315" i="17"/>
  <c r="Z315" i="17"/>
  <c r="AC314" i="17"/>
  <c r="AB314" i="17"/>
  <c r="AA314" i="17"/>
  <c r="Y314" i="17"/>
  <c r="Z314" i="17"/>
  <c r="AC313" i="17"/>
  <c r="AB313" i="17"/>
  <c r="AA313" i="17"/>
  <c r="Y313" i="17"/>
  <c r="Z313" i="17"/>
  <c r="AC312" i="17"/>
  <c r="AB312" i="17"/>
  <c r="AA312" i="17"/>
  <c r="Y312" i="17"/>
  <c r="Z312" i="17"/>
  <c r="AC311" i="17"/>
  <c r="AB311" i="17"/>
  <c r="AA311" i="17"/>
  <c r="Y311" i="17"/>
  <c r="Z311" i="17"/>
  <c r="AC310" i="17"/>
  <c r="AB310" i="17"/>
  <c r="AA310" i="17"/>
  <c r="Y310" i="17"/>
  <c r="Z310" i="17"/>
  <c r="AC309" i="17"/>
  <c r="AB309" i="17"/>
  <c r="AA309" i="17"/>
  <c r="Y309" i="17"/>
  <c r="Z309" i="17"/>
  <c r="AC308" i="17"/>
  <c r="AB308" i="17"/>
  <c r="AA308" i="17"/>
  <c r="Y308" i="17"/>
  <c r="Z308" i="17"/>
  <c r="AC307" i="17"/>
  <c r="AB307" i="17"/>
  <c r="AA307" i="17"/>
  <c r="Y307" i="17"/>
  <c r="Z307" i="17"/>
  <c r="AC306" i="17"/>
  <c r="AB306" i="17"/>
  <c r="AA306" i="17"/>
  <c r="Y306" i="17"/>
  <c r="Z306" i="17"/>
  <c r="AC305" i="17"/>
  <c r="AB305" i="17"/>
  <c r="AA305" i="17"/>
  <c r="Y305" i="17"/>
  <c r="Z305" i="17"/>
  <c r="AC304" i="17"/>
  <c r="AB304" i="17"/>
  <c r="AA304" i="17"/>
  <c r="Y304" i="17"/>
  <c r="Z304" i="17"/>
  <c r="AC303" i="17"/>
  <c r="AB303" i="17"/>
  <c r="AA303" i="17"/>
  <c r="Y303" i="17"/>
  <c r="Z303" i="17"/>
  <c r="AC302" i="17"/>
  <c r="AB302" i="17"/>
  <c r="AA302" i="17"/>
  <c r="Y302" i="17"/>
  <c r="Z302" i="17"/>
  <c r="AC301" i="17"/>
  <c r="AB301" i="17"/>
  <c r="AA301" i="17"/>
  <c r="Y301" i="17"/>
  <c r="Z301" i="17"/>
  <c r="AC300" i="17"/>
  <c r="AB300" i="17"/>
  <c r="AA300" i="17"/>
  <c r="Y300" i="17"/>
  <c r="Z300" i="17"/>
  <c r="AC299" i="17"/>
  <c r="AB299" i="17"/>
  <c r="AA299" i="17"/>
  <c r="Y299" i="17"/>
  <c r="Z299" i="17"/>
  <c r="AC298" i="17"/>
  <c r="AB298" i="17"/>
  <c r="AA298" i="17"/>
  <c r="Y298" i="17"/>
  <c r="Z298" i="17"/>
  <c r="AC297" i="17"/>
  <c r="AB297" i="17"/>
  <c r="AA297" i="17"/>
  <c r="Y297" i="17"/>
  <c r="Z297" i="17"/>
  <c r="AC296" i="17"/>
  <c r="AB296" i="17"/>
  <c r="AA296" i="17"/>
  <c r="Y296" i="17"/>
  <c r="Z296" i="17"/>
  <c r="AC295" i="17"/>
  <c r="AB295" i="17"/>
  <c r="AA295" i="17"/>
  <c r="Y295" i="17"/>
  <c r="Z295" i="17"/>
  <c r="AC294" i="17"/>
  <c r="AB294" i="17"/>
  <c r="AA294" i="17"/>
  <c r="Y294" i="17"/>
  <c r="Z294" i="17"/>
  <c r="AC293" i="17"/>
  <c r="AB293" i="17"/>
  <c r="AA293" i="17"/>
  <c r="Y293" i="17"/>
  <c r="I293" i="17"/>
  <c r="Z293" i="17"/>
  <c r="AC292" i="17"/>
  <c r="AB292" i="17"/>
  <c r="AA292" i="17"/>
  <c r="Y292" i="17"/>
  <c r="I292" i="17"/>
  <c r="Z292" i="17"/>
  <c r="AC291" i="17"/>
  <c r="AB291" i="17"/>
  <c r="AA291" i="17"/>
  <c r="Y291" i="17"/>
  <c r="I291" i="17"/>
  <c r="Z291" i="17"/>
  <c r="AC290" i="17"/>
  <c r="AB290" i="17"/>
  <c r="AA290" i="17"/>
  <c r="Y290" i="17"/>
  <c r="I290" i="17"/>
  <c r="Z290" i="17"/>
  <c r="AC289" i="17"/>
  <c r="AB289" i="17"/>
  <c r="AA289" i="17"/>
  <c r="Y289" i="17"/>
  <c r="I289" i="17"/>
  <c r="Z289" i="17"/>
  <c r="AC288" i="17"/>
  <c r="AB288" i="17"/>
  <c r="AA288" i="17"/>
  <c r="G288" i="17"/>
  <c r="Y288" i="17"/>
  <c r="I288" i="17"/>
  <c r="Z288" i="17"/>
  <c r="AC287" i="17"/>
  <c r="AB287" i="17"/>
  <c r="AA287" i="17"/>
  <c r="Y287" i="17"/>
  <c r="I287" i="17"/>
  <c r="Z287" i="17"/>
  <c r="AC286" i="17"/>
  <c r="AB286" i="17"/>
  <c r="AA286" i="17"/>
  <c r="Y286" i="17"/>
  <c r="I286" i="17"/>
  <c r="Z286" i="17"/>
  <c r="AC285" i="17"/>
  <c r="AB285" i="17"/>
  <c r="AA285" i="17"/>
  <c r="Y285" i="17"/>
  <c r="I285" i="17"/>
  <c r="Z285" i="17"/>
  <c r="AC284" i="17"/>
  <c r="AB284" i="17"/>
  <c r="AA284" i="17"/>
  <c r="Y284" i="17"/>
  <c r="I284" i="17"/>
  <c r="Z284" i="17"/>
  <c r="AC283" i="17"/>
  <c r="U283" i="17"/>
  <c r="AB283" i="17"/>
  <c r="AA283" i="17"/>
  <c r="Y283" i="17"/>
  <c r="I283" i="17"/>
  <c r="Z283" i="17"/>
  <c r="AC282" i="17"/>
  <c r="U282" i="17"/>
  <c r="AB282" i="17"/>
  <c r="AA282" i="17"/>
  <c r="G282" i="17"/>
  <c r="Y282" i="17"/>
  <c r="I282" i="17"/>
  <c r="Z282" i="17"/>
  <c r="AC281" i="17"/>
  <c r="U281" i="17"/>
  <c r="AB281" i="17"/>
  <c r="AA281" i="17"/>
  <c r="Y281" i="17"/>
  <c r="I281" i="17"/>
  <c r="Z281" i="17"/>
  <c r="AC280" i="17"/>
  <c r="U280" i="17"/>
  <c r="AB280" i="17"/>
  <c r="AA280" i="17"/>
  <c r="G280" i="17"/>
  <c r="Y280" i="17"/>
  <c r="I280" i="17"/>
  <c r="Z280" i="17"/>
  <c r="AC279" i="17"/>
  <c r="AB279" i="17"/>
  <c r="AA279" i="17"/>
  <c r="Y279" i="17"/>
  <c r="I279" i="17"/>
  <c r="Z279" i="17"/>
  <c r="AC278" i="17"/>
  <c r="AB278" i="17"/>
  <c r="AA278" i="17"/>
  <c r="Y278" i="17"/>
  <c r="I278" i="17"/>
  <c r="Z278" i="17"/>
  <c r="AC277" i="17"/>
  <c r="U277" i="17"/>
  <c r="AB277" i="17"/>
  <c r="AA277" i="17"/>
  <c r="Y277" i="17"/>
  <c r="I277" i="17"/>
  <c r="Z277" i="17"/>
  <c r="AC276" i="17"/>
  <c r="U276" i="17"/>
  <c r="AB276" i="17"/>
  <c r="AA276" i="17"/>
  <c r="G276" i="17"/>
  <c r="Y276" i="17"/>
  <c r="I276" i="17"/>
  <c r="Z276" i="17"/>
  <c r="AC275" i="17"/>
  <c r="AB275" i="17"/>
  <c r="AA275" i="17"/>
  <c r="Y275" i="17"/>
  <c r="I275" i="17"/>
  <c r="Z275" i="17"/>
  <c r="AC274" i="17"/>
  <c r="AB274" i="17"/>
  <c r="AA274" i="17"/>
  <c r="Y274" i="17"/>
  <c r="I274" i="17"/>
  <c r="Z274" i="17"/>
  <c r="AC273" i="17"/>
  <c r="U273" i="17"/>
  <c r="AB273" i="17"/>
  <c r="AA273" i="17"/>
  <c r="G273" i="17"/>
  <c r="Y273" i="17"/>
  <c r="I273" i="17"/>
  <c r="Z273" i="17"/>
  <c r="AC272" i="17"/>
  <c r="U272" i="17"/>
  <c r="AB272" i="17"/>
  <c r="AA272" i="17"/>
  <c r="Y272" i="17"/>
  <c r="I272" i="17"/>
  <c r="Z272" i="17"/>
  <c r="AC271" i="17"/>
  <c r="U271" i="17"/>
  <c r="AB271" i="17"/>
  <c r="AA271" i="17"/>
  <c r="Y271" i="17"/>
  <c r="I271" i="17"/>
  <c r="Z271" i="17"/>
  <c r="AC270" i="17"/>
  <c r="G270" i="17"/>
  <c r="U270" i="17"/>
  <c r="AB270" i="17"/>
  <c r="AA270" i="17"/>
  <c r="Y270" i="17"/>
  <c r="I270" i="17"/>
  <c r="Z270" i="17"/>
  <c r="AC269" i="17"/>
  <c r="U269" i="17"/>
  <c r="AB269" i="17"/>
  <c r="AA269" i="17"/>
  <c r="Y269" i="17"/>
  <c r="I269" i="17"/>
  <c r="Z269" i="17"/>
  <c r="AC268" i="17"/>
  <c r="G268" i="17"/>
  <c r="U268" i="17"/>
  <c r="AB268" i="17"/>
  <c r="AA268" i="17"/>
  <c r="Y268" i="17"/>
  <c r="I268" i="17"/>
  <c r="Z268" i="17"/>
  <c r="AC267" i="17"/>
  <c r="U267" i="17"/>
  <c r="AB267" i="17"/>
  <c r="AA267" i="17"/>
  <c r="Y267" i="17"/>
  <c r="I267" i="17"/>
  <c r="Z267" i="17"/>
  <c r="AC266" i="17"/>
  <c r="U266" i="17"/>
  <c r="AB266" i="17"/>
  <c r="AA266" i="17"/>
  <c r="G266" i="17"/>
  <c r="Y266" i="17"/>
  <c r="I266" i="17"/>
  <c r="Z266" i="17"/>
  <c r="AC265" i="17"/>
  <c r="G265" i="17"/>
  <c r="U265" i="17"/>
  <c r="AB265" i="17"/>
  <c r="AA265" i="17"/>
  <c r="Y265" i="17"/>
  <c r="I265" i="17"/>
  <c r="Z265" i="17"/>
  <c r="AC264" i="17"/>
  <c r="U264" i="17"/>
  <c r="AB264" i="17"/>
  <c r="AA264" i="17"/>
  <c r="Y264" i="17"/>
  <c r="I264" i="17"/>
  <c r="Z264" i="17"/>
  <c r="AC263" i="17"/>
  <c r="U263" i="17"/>
  <c r="AB263" i="17"/>
  <c r="AA263" i="17"/>
  <c r="G263" i="17"/>
  <c r="Y263" i="17"/>
  <c r="I263" i="17"/>
  <c r="Z263" i="17"/>
  <c r="AC262" i="17"/>
  <c r="U262" i="17"/>
  <c r="AB262" i="17"/>
  <c r="AA262" i="17"/>
  <c r="Y262" i="17"/>
  <c r="I262" i="17"/>
  <c r="Z262" i="17"/>
  <c r="G261" i="17"/>
  <c r="N261" i="17"/>
  <c r="O261" i="17"/>
  <c r="AC261" i="17"/>
  <c r="I261" i="17"/>
  <c r="U261" i="17"/>
  <c r="AB261" i="17"/>
  <c r="AA261" i="17"/>
  <c r="Y261" i="17"/>
  <c r="Z261" i="17"/>
  <c r="N260" i="17"/>
  <c r="O260" i="17"/>
  <c r="AC260" i="17"/>
  <c r="I260" i="17"/>
  <c r="U260" i="17"/>
  <c r="AB260" i="17"/>
  <c r="AA260" i="17"/>
  <c r="Y260" i="17"/>
  <c r="Z260" i="17"/>
  <c r="G163" i="17"/>
  <c r="U160" i="17"/>
  <c r="U159" i="17"/>
  <c r="U161" i="17"/>
  <c r="U156" i="17"/>
  <c r="G156" i="17"/>
  <c r="G151" i="17"/>
  <c r="U148" i="17"/>
  <c r="G148" i="17"/>
  <c r="AC164" i="17"/>
  <c r="AB164" i="17"/>
  <c r="AA164" i="17"/>
  <c r="Y164" i="17"/>
  <c r="Z164" i="17"/>
  <c r="AC163" i="17"/>
  <c r="AB163" i="17"/>
  <c r="AA163" i="17"/>
  <c r="Y163" i="17"/>
  <c r="Z163" i="17"/>
  <c r="AC162" i="17"/>
  <c r="AB162" i="17"/>
  <c r="AA162" i="17"/>
  <c r="Y162" i="17"/>
  <c r="Z162" i="17"/>
  <c r="AC161" i="17"/>
  <c r="AB161" i="17"/>
  <c r="AA161" i="17"/>
  <c r="Y161" i="17"/>
  <c r="Z161" i="17"/>
  <c r="AC160" i="17"/>
  <c r="AB160" i="17"/>
  <c r="AA160" i="17"/>
  <c r="Y160" i="17"/>
  <c r="Z160" i="17"/>
  <c r="AC159" i="17"/>
  <c r="AB159" i="17"/>
  <c r="AA159" i="17"/>
  <c r="Y159" i="17"/>
  <c r="Z159" i="17"/>
  <c r="AC158" i="17"/>
  <c r="AB158" i="17"/>
  <c r="AA158" i="17"/>
  <c r="Y158" i="17"/>
  <c r="Z158" i="17"/>
  <c r="AC157" i="17"/>
  <c r="AB157" i="17"/>
  <c r="AA157" i="17"/>
  <c r="Y157" i="17"/>
  <c r="Z157" i="17"/>
  <c r="AC156" i="17"/>
  <c r="AB156" i="17"/>
  <c r="AA156" i="17"/>
  <c r="Y156" i="17"/>
  <c r="Z156" i="17"/>
  <c r="AC155" i="17"/>
  <c r="AB155" i="17"/>
  <c r="AA155" i="17"/>
  <c r="Y155" i="17"/>
  <c r="Z155" i="17"/>
  <c r="AC154" i="17"/>
  <c r="AB154" i="17"/>
  <c r="AA154" i="17"/>
  <c r="Y154" i="17"/>
  <c r="Z154" i="17"/>
  <c r="AC153" i="17"/>
  <c r="AB153" i="17"/>
  <c r="AA153" i="17"/>
  <c r="Y153" i="17"/>
  <c r="Z153" i="17"/>
  <c r="AC152" i="17"/>
  <c r="AB152" i="17"/>
  <c r="AA152" i="17"/>
  <c r="Y152" i="17"/>
  <c r="Z152" i="17"/>
  <c r="AC151" i="17"/>
  <c r="AB151" i="17"/>
  <c r="AA151" i="17"/>
  <c r="Y151" i="17"/>
  <c r="Z151" i="17"/>
  <c r="AC150" i="17"/>
  <c r="AB150" i="17"/>
  <c r="AA150" i="17"/>
  <c r="Y150" i="17"/>
  <c r="Z150" i="17"/>
  <c r="AC149" i="17"/>
  <c r="AB149" i="17"/>
  <c r="AA149" i="17"/>
  <c r="Y149" i="17"/>
  <c r="Z149" i="17"/>
  <c r="G145" i="17"/>
  <c r="G143" i="17"/>
  <c r="U145" i="17"/>
  <c r="I145" i="17"/>
  <c r="U144" i="17"/>
  <c r="I144" i="17"/>
  <c r="U143" i="17"/>
  <c r="I143" i="17"/>
  <c r="U142" i="17"/>
  <c r="I142" i="17"/>
  <c r="G141" i="17"/>
  <c r="G139" i="17"/>
  <c r="U141" i="17"/>
  <c r="U140" i="17"/>
  <c r="U139" i="17"/>
  <c r="U138" i="17"/>
  <c r="U137" i="17"/>
  <c r="U136" i="17"/>
  <c r="U135" i="17"/>
  <c r="I141" i="17"/>
  <c r="I140" i="17"/>
  <c r="I139" i="17"/>
  <c r="I138" i="17"/>
  <c r="I137" i="17"/>
  <c r="I136" i="17"/>
  <c r="P167" i="17"/>
  <c r="AC167" i="17"/>
  <c r="U167" i="17"/>
  <c r="AB167" i="17"/>
  <c r="AA167" i="17"/>
  <c r="Y167" i="17"/>
  <c r="Z167" i="17"/>
  <c r="AC166" i="17"/>
  <c r="AB166" i="17"/>
  <c r="AA166" i="17"/>
  <c r="Y166" i="17"/>
  <c r="Z166" i="17"/>
  <c r="AC148" i="17"/>
  <c r="AB148" i="17"/>
  <c r="AA148" i="17"/>
  <c r="Y148" i="17"/>
  <c r="Z148" i="17"/>
  <c r="AC147" i="17"/>
  <c r="AB147" i="17"/>
  <c r="AA147" i="17"/>
  <c r="Y147" i="17"/>
  <c r="Z147" i="17"/>
  <c r="AC146" i="17"/>
  <c r="AB146" i="17"/>
  <c r="AA146" i="17"/>
  <c r="Y146" i="17"/>
  <c r="Z146" i="17"/>
  <c r="AC145" i="17"/>
  <c r="AB145" i="17"/>
  <c r="AA145" i="17"/>
  <c r="Y145" i="17"/>
  <c r="Z145" i="17"/>
  <c r="AC144" i="17"/>
  <c r="AB144" i="17"/>
  <c r="AA144" i="17"/>
  <c r="Y144" i="17"/>
  <c r="Z144" i="17"/>
  <c r="AC143" i="17"/>
  <c r="AB143" i="17"/>
  <c r="AA143" i="17"/>
  <c r="Y143" i="17"/>
  <c r="Z143" i="17"/>
  <c r="AC142" i="17"/>
  <c r="AB142" i="17"/>
  <c r="AA142" i="17"/>
  <c r="Y142" i="17"/>
  <c r="Z142" i="17"/>
  <c r="AC141" i="17"/>
  <c r="AB141" i="17"/>
  <c r="AA141" i="17"/>
  <c r="Y141" i="17"/>
  <c r="Z141" i="17"/>
  <c r="AC140" i="17"/>
  <c r="AB140" i="17"/>
  <c r="AA140" i="17"/>
  <c r="Y140" i="17"/>
  <c r="Z140" i="17"/>
  <c r="AC139" i="17"/>
  <c r="AB139" i="17"/>
  <c r="AA139" i="17"/>
  <c r="Y139" i="17"/>
  <c r="Z139" i="17"/>
  <c r="AC138" i="17"/>
  <c r="AB138" i="17"/>
  <c r="AA138" i="17"/>
  <c r="Y138" i="17"/>
  <c r="Z138" i="17"/>
  <c r="AC137" i="17"/>
  <c r="AB137" i="17"/>
  <c r="AA137" i="17"/>
  <c r="Y137" i="17"/>
  <c r="Z137" i="17"/>
  <c r="AC136" i="17"/>
  <c r="AB136" i="17"/>
  <c r="AA136" i="17"/>
  <c r="Y136" i="17"/>
  <c r="Z136" i="17"/>
  <c r="AC135" i="17"/>
  <c r="AB135" i="17"/>
  <c r="AA135" i="17"/>
  <c r="Y135" i="17"/>
  <c r="I135" i="17"/>
  <c r="Z135" i="17"/>
  <c r="L67" i="19"/>
  <c r="L93" i="20"/>
  <c r="L92" i="20"/>
  <c r="L91" i="20"/>
  <c r="M90" i="20"/>
  <c r="L90" i="20"/>
  <c r="L89" i="20"/>
  <c r="L88" i="20"/>
  <c r="L87" i="20"/>
  <c r="L86" i="20"/>
  <c r="M85" i="20"/>
  <c r="L85" i="20"/>
  <c r="M84" i="20"/>
  <c r="L84" i="20"/>
  <c r="L83" i="20"/>
  <c r="L82" i="20"/>
  <c r="L81" i="20"/>
  <c r="L80" i="20"/>
  <c r="L79" i="20"/>
  <c r="M78" i="20"/>
  <c r="L78" i="20"/>
  <c r="L77" i="20"/>
  <c r="L76" i="20"/>
  <c r="L75" i="20"/>
  <c r="L74" i="20"/>
  <c r="L73" i="20"/>
  <c r="L72" i="20"/>
  <c r="L71" i="20"/>
  <c r="L70" i="20"/>
  <c r="L69" i="20"/>
  <c r="M68" i="20"/>
  <c r="L68" i="20"/>
  <c r="M67" i="20"/>
  <c r="L67" i="20"/>
  <c r="L66" i="20"/>
  <c r="L65" i="20"/>
  <c r="L64" i="20"/>
  <c r="M63" i="20"/>
  <c r="L63" i="20"/>
  <c r="L62" i="20"/>
  <c r="M61" i="20"/>
  <c r="L61" i="20"/>
  <c r="L60" i="20"/>
  <c r="L59" i="20"/>
  <c r="L58" i="20"/>
  <c r="L57" i="20"/>
  <c r="L56" i="20"/>
  <c r="L55" i="20"/>
  <c r="L54" i="20"/>
  <c r="Z93" i="20"/>
  <c r="Z92" i="20"/>
  <c r="Z91" i="20"/>
  <c r="Z90" i="20"/>
  <c r="Z89" i="20"/>
  <c r="Z88" i="20"/>
  <c r="Z87" i="20"/>
  <c r="Z86" i="20"/>
  <c r="Z85" i="20"/>
  <c r="Z84" i="20"/>
  <c r="Z83" i="20"/>
  <c r="Z82" i="20"/>
  <c r="Z81" i="20"/>
  <c r="Z80" i="20"/>
  <c r="Z79" i="20"/>
  <c r="Z78" i="20"/>
  <c r="Z77" i="20"/>
  <c r="Z76" i="20"/>
  <c r="Z75" i="20"/>
  <c r="Z74" i="20"/>
  <c r="Z73" i="20"/>
  <c r="Z72" i="20"/>
  <c r="Z71" i="20"/>
  <c r="Z70" i="20"/>
  <c r="Z69" i="20"/>
  <c r="Z68" i="20"/>
  <c r="Z67" i="20"/>
  <c r="Z66" i="20"/>
  <c r="Z65" i="20"/>
  <c r="Z64" i="20"/>
  <c r="Z63" i="20"/>
  <c r="Z62" i="20"/>
  <c r="Z61" i="20"/>
  <c r="Z60" i="20"/>
  <c r="Z59" i="20"/>
  <c r="Z58" i="20"/>
  <c r="Z57" i="20"/>
  <c r="N130" i="17"/>
  <c r="O130" i="17"/>
  <c r="L52" i="20"/>
  <c r="L51" i="20"/>
  <c r="L50" i="20"/>
  <c r="Z52" i="20"/>
  <c r="Z51" i="20"/>
  <c r="L48" i="20"/>
  <c r="L47" i="20"/>
  <c r="L46" i="20"/>
  <c r="L45" i="20"/>
  <c r="L44" i="20"/>
  <c r="L43" i="20"/>
  <c r="Z50" i="20"/>
  <c r="Z49" i="20"/>
  <c r="Z48" i="20"/>
  <c r="Z47" i="20"/>
  <c r="Z46" i="20"/>
  <c r="Z45" i="20"/>
  <c r="Z44" i="20"/>
  <c r="M42" i="20"/>
  <c r="L42" i="20"/>
  <c r="L41" i="20"/>
  <c r="L40" i="20"/>
  <c r="L39" i="20"/>
  <c r="L38" i="20"/>
  <c r="L37" i="20"/>
  <c r="Z37" i="20"/>
  <c r="L36" i="20"/>
  <c r="L35" i="20"/>
  <c r="L34" i="20"/>
  <c r="L33" i="20"/>
  <c r="L32" i="20"/>
  <c r="L31" i="20"/>
  <c r="L29" i="20"/>
  <c r="L28" i="20"/>
  <c r="L30" i="20"/>
  <c r="L18" i="20"/>
  <c r="L17" i="20"/>
  <c r="AC130" i="17"/>
  <c r="AB130" i="17"/>
  <c r="AA130" i="17"/>
  <c r="Y130" i="17"/>
  <c r="Z130" i="17"/>
  <c r="N129" i="17"/>
  <c r="O129" i="17"/>
  <c r="AC129" i="17"/>
  <c r="AB129" i="17"/>
  <c r="AA129" i="17"/>
  <c r="Y129" i="17"/>
  <c r="Z129" i="17"/>
  <c r="M26" i="20"/>
  <c r="M23" i="20"/>
  <c r="O128" i="17"/>
  <c r="N128" i="17"/>
  <c r="Z43" i="20"/>
  <c r="Z42" i="20"/>
  <c r="Z41" i="20"/>
  <c r="Z40" i="20"/>
  <c r="Z39" i="20"/>
  <c r="Z38" i="20"/>
  <c r="Z36" i="20"/>
  <c r="Z35" i="20"/>
  <c r="Z34" i="20"/>
  <c r="Z33" i="20"/>
  <c r="Z32" i="20"/>
  <c r="Z31" i="20"/>
  <c r="Z30" i="20"/>
  <c r="Z29" i="20"/>
  <c r="L27" i="20"/>
  <c r="L26" i="20"/>
  <c r="L25" i="20"/>
  <c r="L24" i="20"/>
  <c r="L23" i="20"/>
  <c r="L22" i="20"/>
  <c r="Z27" i="20"/>
  <c r="Z26" i="20"/>
  <c r="Z25" i="20"/>
  <c r="Z24" i="20"/>
  <c r="Z23" i="20"/>
  <c r="L21" i="20"/>
  <c r="L20" i="20"/>
  <c r="Z21" i="20"/>
  <c r="L13" i="20"/>
  <c r="L14" i="20"/>
  <c r="Z14" i="20"/>
  <c r="L12" i="20"/>
  <c r="L11" i="20"/>
  <c r="Z12" i="20"/>
  <c r="L19" i="20"/>
  <c r="L16" i="20"/>
  <c r="L15" i="20"/>
  <c r="Z94" i="20"/>
  <c r="Z56" i="20"/>
  <c r="Z55" i="20"/>
  <c r="Z54" i="20"/>
  <c r="Z53" i="20"/>
  <c r="Z28" i="20"/>
  <c r="Z22" i="20"/>
  <c r="Z20" i="20"/>
  <c r="Z19" i="20"/>
  <c r="Z18" i="20"/>
  <c r="Z17" i="20"/>
  <c r="Z16" i="20"/>
  <c r="Z15" i="20"/>
  <c r="Z13" i="20"/>
  <c r="Z11" i="20"/>
  <c r="Z10" i="20"/>
  <c r="AD95" i="20"/>
  <c r="AC95" i="20"/>
  <c r="AB95" i="20"/>
  <c r="AA95" i="20"/>
  <c r="Z95" i="20"/>
  <c r="L87" i="19"/>
  <c r="L77" i="19"/>
  <c r="L66" i="19"/>
  <c r="L86" i="19"/>
  <c r="U34" i="17"/>
  <c r="T34" i="17"/>
  <c r="U33" i="17"/>
  <c r="T33" i="17"/>
  <c r="N33" i="17"/>
  <c r="L78" i="19"/>
  <c r="L63" i="19"/>
  <c r="N259" i="17"/>
  <c r="O259" i="17"/>
  <c r="AC259" i="17"/>
  <c r="I259" i="17"/>
  <c r="U259" i="17"/>
  <c r="AB259" i="17"/>
  <c r="AA259" i="17"/>
  <c r="Y259" i="17"/>
  <c r="Z259" i="17"/>
  <c r="U127" i="17"/>
  <c r="O127" i="17"/>
  <c r="N127" i="17"/>
  <c r="U126" i="17"/>
  <c r="O126" i="17"/>
  <c r="N126" i="17"/>
  <c r="AC128" i="17"/>
  <c r="AB128" i="17"/>
  <c r="AA128" i="17"/>
  <c r="Y128" i="17"/>
  <c r="Z128" i="17"/>
  <c r="AC127" i="17"/>
  <c r="AB127" i="17"/>
  <c r="AA127" i="17"/>
  <c r="Y127" i="17"/>
  <c r="Z127" i="17"/>
  <c r="AC126" i="17"/>
  <c r="AB126" i="17"/>
  <c r="AA126" i="17"/>
  <c r="Y126" i="17"/>
  <c r="Z126" i="17"/>
  <c r="U43" i="17"/>
  <c r="G42" i="17"/>
  <c r="U42" i="17"/>
  <c r="U41" i="17"/>
  <c r="T43" i="17"/>
  <c r="T42" i="17"/>
  <c r="T41" i="17"/>
  <c r="G44" i="17"/>
  <c r="U44" i="17"/>
  <c r="T44" i="17"/>
  <c r="O44" i="17"/>
  <c r="N44" i="17"/>
  <c r="N43" i="17"/>
  <c r="O43" i="17"/>
  <c r="AC43" i="17"/>
  <c r="AB43" i="17"/>
  <c r="AA43" i="17"/>
  <c r="Y43" i="17"/>
  <c r="Z43" i="17"/>
  <c r="AC44" i="17"/>
  <c r="AB44" i="17"/>
  <c r="AA44" i="17"/>
  <c r="Y44" i="17"/>
  <c r="Z44" i="17"/>
  <c r="N42" i="17"/>
  <c r="O42" i="17"/>
  <c r="AC42" i="17"/>
  <c r="AB42" i="17"/>
  <c r="AA42" i="17"/>
  <c r="Y42" i="17"/>
  <c r="Z42" i="17"/>
  <c r="I258" i="17"/>
  <c r="U258" i="17"/>
  <c r="T258" i="17"/>
  <c r="O258" i="17"/>
  <c r="N258" i="17"/>
  <c r="I257" i="17"/>
  <c r="U257" i="17"/>
  <c r="T257" i="17"/>
  <c r="O257" i="17"/>
  <c r="N257" i="17"/>
  <c r="I256" i="17"/>
  <c r="U256" i="17"/>
  <c r="T256" i="17"/>
  <c r="O256" i="17"/>
  <c r="N256" i="17"/>
  <c r="I255" i="17"/>
  <c r="U255" i="17"/>
  <c r="T255" i="17"/>
  <c r="O255" i="17"/>
  <c r="N255" i="17"/>
  <c r="I254" i="17"/>
  <c r="U254" i="17"/>
  <c r="T254" i="17"/>
  <c r="O254" i="17"/>
  <c r="N254" i="17"/>
  <c r="I247" i="17"/>
  <c r="I246" i="17"/>
  <c r="I245" i="17"/>
  <c r="I239" i="17"/>
  <c r="I238" i="17"/>
  <c r="I253" i="17"/>
  <c r="U253" i="17"/>
  <c r="T253" i="17"/>
  <c r="O253" i="17"/>
  <c r="N253" i="17"/>
  <c r="I252" i="17"/>
  <c r="U252" i="17"/>
  <c r="T252" i="17"/>
  <c r="O252" i="17"/>
  <c r="N252" i="17"/>
  <c r="I251" i="17"/>
  <c r="U251" i="17"/>
  <c r="T251" i="17"/>
  <c r="O251" i="17"/>
  <c r="N251" i="17"/>
  <c r="I250" i="17"/>
  <c r="U250" i="17"/>
  <c r="T250" i="17"/>
  <c r="O250" i="17"/>
  <c r="N250" i="17"/>
  <c r="I249" i="17"/>
  <c r="U249" i="17"/>
  <c r="T249" i="17"/>
  <c r="O249" i="17"/>
  <c r="N249" i="17"/>
  <c r="I248" i="17"/>
  <c r="U248" i="17"/>
  <c r="T248" i="17"/>
  <c r="O248" i="17"/>
  <c r="N248" i="17"/>
  <c r="U247" i="17"/>
  <c r="T247" i="17"/>
  <c r="O247" i="17"/>
  <c r="N247" i="17"/>
  <c r="U246" i="17"/>
  <c r="T246" i="17"/>
  <c r="O246" i="17"/>
  <c r="N246" i="17"/>
  <c r="U245" i="17"/>
  <c r="T245" i="17"/>
  <c r="O245" i="17"/>
  <c r="N245" i="17"/>
  <c r="I244" i="17"/>
  <c r="U244" i="17"/>
  <c r="T244" i="17"/>
  <c r="O244" i="17"/>
  <c r="N244" i="17"/>
  <c r="I243" i="17"/>
  <c r="U243" i="17"/>
  <c r="T243" i="17"/>
  <c r="O243" i="17"/>
  <c r="N243" i="17"/>
  <c r="I242" i="17"/>
  <c r="U242" i="17"/>
  <c r="T242" i="17"/>
  <c r="O242" i="17"/>
  <c r="N242" i="17"/>
  <c r="I241" i="17"/>
  <c r="U241" i="17"/>
  <c r="T241" i="17"/>
  <c r="O241" i="17"/>
  <c r="N241" i="17"/>
  <c r="I240" i="17"/>
  <c r="U240" i="17"/>
  <c r="T240" i="17"/>
  <c r="O240" i="17"/>
  <c r="N240" i="17"/>
  <c r="U239" i="17"/>
  <c r="T239" i="17"/>
  <c r="O239" i="17"/>
  <c r="N239" i="17"/>
  <c r="U238" i="17"/>
  <c r="T238" i="17"/>
  <c r="O238" i="17"/>
  <c r="N238" i="17"/>
  <c r="I237" i="17"/>
  <c r="U237" i="17"/>
  <c r="T237" i="17"/>
  <c r="O237" i="17"/>
  <c r="N237" i="17"/>
  <c r="AC257" i="17"/>
  <c r="AB257" i="17"/>
  <c r="AA257" i="17"/>
  <c r="Y257" i="17"/>
  <c r="Z257" i="17"/>
  <c r="AC256" i="17"/>
  <c r="AB256" i="17"/>
  <c r="AA256" i="17"/>
  <c r="Y256" i="17"/>
  <c r="Z256" i="17"/>
  <c r="AC255" i="17"/>
  <c r="AB255" i="17"/>
  <c r="AA255" i="17"/>
  <c r="Y255" i="17"/>
  <c r="Z255" i="17"/>
  <c r="AC254" i="17"/>
  <c r="AB254" i="17"/>
  <c r="AA254" i="17"/>
  <c r="Y254" i="17"/>
  <c r="Z254" i="17"/>
  <c r="AC253" i="17"/>
  <c r="AB253" i="17"/>
  <c r="AA253" i="17"/>
  <c r="Y253" i="17"/>
  <c r="Z253" i="17"/>
  <c r="AC252" i="17"/>
  <c r="AB252" i="17"/>
  <c r="AA252" i="17"/>
  <c r="Y252" i="17"/>
  <c r="Z252" i="17"/>
  <c r="AC251" i="17"/>
  <c r="AB251" i="17"/>
  <c r="AA251" i="17"/>
  <c r="Y251" i="17"/>
  <c r="Z251" i="17"/>
  <c r="AC250" i="17"/>
  <c r="AB250" i="17"/>
  <c r="AA250" i="17"/>
  <c r="Y250" i="17"/>
  <c r="Z250" i="17"/>
  <c r="AC249" i="17"/>
  <c r="AB249" i="17"/>
  <c r="AA249" i="17"/>
  <c r="Y249" i="17"/>
  <c r="Z249" i="17"/>
  <c r="AC248" i="17"/>
  <c r="AB248" i="17"/>
  <c r="AA248" i="17"/>
  <c r="Y248" i="17"/>
  <c r="Z248" i="17"/>
  <c r="AC247" i="17"/>
  <c r="AB247" i="17"/>
  <c r="AA247" i="17"/>
  <c r="Y247" i="17"/>
  <c r="Z247" i="17"/>
  <c r="AC246" i="17"/>
  <c r="AB246" i="17"/>
  <c r="AA246" i="17"/>
  <c r="Y246" i="17"/>
  <c r="Z246" i="17"/>
  <c r="AC245" i="17"/>
  <c r="AB245" i="17"/>
  <c r="AA245" i="17"/>
  <c r="Y245" i="17"/>
  <c r="Z245" i="17"/>
  <c r="AC244" i="17"/>
  <c r="AB244" i="17"/>
  <c r="AA244" i="17"/>
  <c r="Y244" i="17"/>
  <c r="Z244" i="17"/>
  <c r="AC243" i="17"/>
  <c r="AB243" i="17"/>
  <c r="AA243" i="17"/>
  <c r="Y243" i="17"/>
  <c r="Z243" i="17"/>
  <c r="AC242" i="17"/>
  <c r="AB242" i="17"/>
  <c r="AA242" i="17"/>
  <c r="Y242" i="17"/>
  <c r="Z242" i="17"/>
  <c r="AC241" i="17"/>
  <c r="AB241" i="17"/>
  <c r="AA241" i="17"/>
  <c r="Y241" i="17"/>
  <c r="Z241" i="17"/>
  <c r="AC240" i="17"/>
  <c r="AB240" i="17"/>
  <c r="AA240" i="17"/>
  <c r="Y240" i="17"/>
  <c r="Z240" i="17"/>
  <c r="AC239" i="17"/>
  <c r="AB239" i="17"/>
  <c r="AA239" i="17"/>
  <c r="Y239" i="17"/>
  <c r="Z239" i="17"/>
  <c r="I236" i="17"/>
  <c r="U236" i="17"/>
  <c r="T236" i="17"/>
  <c r="O236" i="17"/>
  <c r="N236" i="17"/>
  <c r="I235" i="17"/>
  <c r="U235" i="17"/>
  <c r="T235" i="17"/>
  <c r="O235" i="17"/>
  <c r="N235" i="17"/>
  <c r="I234" i="17"/>
  <c r="U234" i="17"/>
  <c r="T234" i="17"/>
  <c r="O234" i="17"/>
  <c r="N234" i="17"/>
  <c r="I233" i="17"/>
  <c r="U233" i="17"/>
  <c r="T233" i="17"/>
  <c r="O233" i="17"/>
  <c r="N233" i="17"/>
  <c r="I232" i="17"/>
  <c r="U232" i="17"/>
  <c r="T232" i="17"/>
  <c r="O232" i="17"/>
  <c r="N232" i="17"/>
  <c r="I231" i="17"/>
  <c r="U231" i="17"/>
  <c r="T231" i="17"/>
  <c r="O231" i="17"/>
  <c r="N231" i="17"/>
  <c r="I230" i="17"/>
  <c r="U230" i="17"/>
  <c r="T230" i="17"/>
  <c r="O230" i="17"/>
  <c r="N230" i="17"/>
  <c r="I229" i="17"/>
  <c r="U229" i="17"/>
  <c r="T229" i="17"/>
  <c r="O229" i="17"/>
  <c r="N229" i="17"/>
  <c r="I228" i="17"/>
  <c r="U228" i="17"/>
  <c r="T228" i="17"/>
  <c r="O228" i="17"/>
  <c r="N228" i="17"/>
  <c r="I227" i="17"/>
  <c r="U227" i="17"/>
  <c r="T227" i="17"/>
  <c r="O227" i="17"/>
  <c r="N227" i="17"/>
  <c r="I226" i="17"/>
  <c r="U226" i="17"/>
  <c r="T226" i="17"/>
  <c r="O226" i="17"/>
  <c r="N226" i="17"/>
  <c r="I225" i="17"/>
  <c r="U225" i="17"/>
  <c r="T225" i="17"/>
  <c r="O225" i="17"/>
  <c r="N225" i="17"/>
  <c r="I224" i="17"/>
  <c r="U224" i="17"/>
  <c r="T224" i="17"/>
  <c r="O224" i="17"/>
  <c r="N224" i="17"/>
  <c r="I223" i="17"/>
  <c r="T223" i="17"/>
  <c r="U223" i="17"/>
  <c r="O223" i="17"/>
  <c r="N223" i="17"/>
  <c r="I222" i="17"/>
  <c r="U222" i="17"/>
  <c r="T222" i="17"/>
  <c r="O222" i="17"/>
  <c r="N222" i="17"/>
  <c r="I221" i="17"/>
  <c r="U221" i="17"/>
  <c r="T221" i="17"/>
  <c r="O221" i="17"/>
  <c r="N221" i="17"/>
  <c r="AC258" i="17"/>
  <c r="AB258" i="17"/>
  <c r="AA258" i="17"/>
  <c r="Y258" i="17"/>
  <c r="Z258" i="17"/>
  <c r="AC238" i="17"/>
  <c r="AB238" i="17"/>
  <c r="AA238" i="17"/>
  <c r="Y238" i="17"/>
  <c r="Z238" i="17"/>
  <c r="AC237" i="17"/>
  <c r="AB237" i="17"/>
  <c r="AA237" i="17"/>
  <c r="Y237" i="17"/>
  <c r="Z237" i="17"/>
  <c r="AC236" i="17"/>
  <c r="AB236" i="17"/>
  <c r="AA236" i="17"/>
  <c r="Y236" i="17"/>
  <c r="Z236" i="17"/>
  <c r="AC235" i="17"/>
  <c r="AB235" i="17"/>
  <c r="AA235" i="17"/>
  <c r="Y235" i="17"/>
  <c r="Z235" i="17"/>
  <c r="AC234" i="17"/>
  <c r="AB234" i="17"/>
  <c r="AA234" i="17"/>
  <c r="Y234" i="17"/>
  <c r="Z234" i="17"/>
  <c r="AC233" i="17"/>
  <c r="AB233" i="17"/>
  <c r="AA233" i="17"/>
  <c r="Y233" i="17"/>
  <c r="Z233" i="17"/>
  <c r="AC232" i="17"/>
  <c r="AB232" i="17"/>
  <c r="AA232" i="17"/>
  <c r="Y232" i="17"/>
  <c r="Z232" i="17"/>
  <c r="AC231" i="17"/>
  <c r="AB231" i="17"/>
  <c r="AA231" i="17"/>
  <c r="Y231" i="17"/>
  <c r="Z231" i="17"/>
  <c r="AC230" i="17"/>
  <c r="AB230" i="17"/>
  <c r="AA230" i="17"/>
  <c r="Y230" i="17"/>
  <c r="Z230" i="17"/>
  <c r="AC229" i="17"/>
  <c r="AB229" i="17"/>
  <c r="AA229" i="17"/>
  <c r="Y229" i="17"/>
  <c r="Z229" i="17"/>
  <c r="AC228" i="17"/>
  <c r="AB228" i="17"/>
  <c r="AA228" i="17"/>
  <c r="Y228" i="17"/>
  <c r="Z228" i="17"/>
  <c r="AC227" i="17"/>
  <c r="AB227" i="17"/>
  <c r="AA227" i="17"/>
  <c r="Y227" i="17"/>
  <c r="Z227" i="17"/>
  <c r="AC226" i="17"/>
  <c r="AB226" i="17"/>
  <c r="AA226" i="17"/>
  <c r="Y226" i="17"/>
  <c r="Z226" i="17"/>
  <c r="AC225" i="17"/>
  <c r="AB225" i="17"/>
  <c r="AA225" i="17"/>
  <c r="Y225" i="17"/>
  <c r="Z225" i="17"/>
  <c r="AC224" i="17"/>
  <c r="AB224" i="17"/>
  <c r="AA224" i="17"/>
  <c r="Y224" i="17"/>
  <c r="Z224" i="17"/>
  <c r="AC223" i="17"/>
  <c r="AB223" i="17"/>
  <c r="AA223" i="17"/>
  <c r="Y223" i="17"/>
  <c r="Z223" i="17"/>
  <c r="AC222" i="17"/>
  <c r="AB222" i="17"/>
  <c r="AA222" i="17"/>
  <c r="Y222" i="17"/>
  <c r="Z222" i="17"/>
  <c r="I220" i="17"/>
  <c r="U220" i="17"/>
  <c r="T220" i="17"/>
  <c r="O220" i="17"/>
  <c r="N220" i="17"/>
  <c r="I219" i="17"/>
  <c r="U219" i="17"/>
  <c r="T219" i="17"/>
  <c r="O219" i="17"/>
  <c r="N219" i="17"/>
  <c r="I218" i="17"/>
  <c r="U218" i="17"/>
  <c r="T218" i="17"/>
  <c r="O218" i="17"/>
  <c r="N218" i="17"/>
  <c r="I217" i="17"/>
  <c r="U217" i="17"/>
  <c r="T217" i="17"/>
  <c r="O217" i="17"/>
  <c r="N217" i="17"/>
  <c r="I216" i="17"/>
  <c r="U216" i="17"/>
  <c r="T216" i="17"/>
  <c r="O216" i="17"/>
  <c r="N216" i="17"/>
  <c r="I215" i="17"/>
  <c r="U215" i="17"/>
  <c r="T215" i="17"/>
  <c r="O215" i="17"/>
  <c r="N215" i="17"/>
  <c r="I214" i="17"/>
  <c r="U214" i="17"/>
  <c r="T214" i="17"/>
  <c r="O214" i="17"/>
  <c r="N214" i="17"/>
  <c r="I213" i="17"/>
  <c r="U213" i="17"/>
  <c r="T213" i="17"/>
  <c r="O213" i="17"/>
  <c r="N213" i="17"/>
  <c r="I212" i="17"/>
  <c r="U212" i="17"/>
  <c r="T212" i="17"/>
  <c r="O212" i="17"/>
  <c r="N212" i="17"/>
  <c r="I211" i="17"/>
  <c r="U211" i="17"/>
  <c r="T211" i="17"/>
  <c r="O211" i="17"/>
  <c r="N211" i="17"/>
  <c r="I210" i="17"/>
  <c r="U210" i="17"/>
  <c r="T210" i="17"/>
  <c r="O210" i="17"/>
  <c r="N210" i="17"/>
  <c r="I209" i="17"/>
  <c r="U209" i="17"/>
  <c r="T209" i="17"/>
  <c r="O209" i="17"/>
  <c r="N209" i="17"/>
  <c r="I208" i="17"/>
  <c r="U208" i="17"/>
  <c r="T208" i="17"/>
  <c r="O208" i="17"/>
  <c r="N208" i="17"/>
  <c r="I207" i="17"/>
  <c r="U207" i="17"/>
  <c r="T207" i="17"/>
  <c r="O207" i="17"/>
  <c r="N207" i="17"/>
  <c r="I206" i="17"/>
  <c r="U206" i="17"/>
  <c r="T206" i="17"/>
  <c r="O206" i="17"/>
  <c r="N206" i="17"/>
  <c r="I205" i="17"/>
  <c r="U205" i="17"/>
  <c r="T205" i="17"/>
  <c r="O205" i="17"/>
  <c r="N205" i="17"/>
  <c r="I204" i="17"/>
  <c r="U204" i="17"/>
  <c r="T204" i="17"/>
  <c r="O204" i="17"/>
  <c r="N204" i="17"/>
  <c r="I203" i="17"/>
  <c r="U203" i="17"/>
  <c r="T203" i="17"/>
  <c r="O203" i="17"/>
  <c r="N203" i="17"/>
  <c r="I202" i="17"/>
  <c r="U202" i="17"/>
  <c r="T202" i="17"/>
  <c r="O202" i="17"/>
  <c r="N202" i="17"/>
  <c r="I201" i="17"/>
  <c r="U201" i="17"/>
  <c r="T201" i="17"/>
  <c r="O201" i="17"/>
  <c r="N201" i="17"/>
  <c r="I200" i="17"/>
  <c r="U200" i="17"/>
  <c r="T200" i="17"/>
  <c r="O200" i="17"/>
  <c r="N200" i="17"/>
  <c r="I199" i="17"/>
  <c r="U199" i="17"/>
  <c r="T199" i="17"/>
  <c r="O199" i="17"/>
  <c r="N199" i="17"/>
  <c r="I198" i="17"/>
  <c r="U198" i="17"/>
  <c r="T198" i="17"/>
  <c r="O198" i="17"/>
  <c r="N198" i="17"/>
  <c r="I197" i="17"/>
  <c r="U197" i="17"/>
  <c r="T197" i="17"/>
  <c r="O197" i="17"/>
  <c r="N197" i="17"/>
  <c r="I196" i="17"/>
  <c r="U196" i="17"/>
  <c r="T196" i="17"/>
  <c r="O196" i="17"/>
  <c r="N196" i="17"/>
  <c r="I195" i="17"/>
  <c r="U195" i="17"/>
  <c r="T195" i="17"/>
  <c r="O195" i="17"/>
  <c r="N195" i="17"/>
  <c r="I194" i="17"/>
  <c r="U194" i="17"/>
  <c r="T194" i="17"/>
  <c r="O194" i="17"/>
  <c r="N194" i="17"/>
  <c r="I193" i="17"/>
  <c r="U193" i="17"/>
  <c r="T193" i="17"/>
  <c r="O193" i="17"/>
  <c r="N193" i="17"/>
  <c r="I192" i="17"/>
  <c r="U192" i="17"/>
  <c r="T192" i="17"/>
  <c r="O192" i="17"/>
  <c r="N192" i="17"/>
  <c r="I191" i="17"/>
  <c r="U191" i="17"/>
  <c r="T191" i="17"/>
  <c r="O191" i="17"/>
  <c r="N191" i="17"/>
  <c r="I190" i="17"/>
  <c r="U190" i="17"/>
  <c r="T190" i="17"/>
  <c r="O190" i="17"/>
  <c r="N190" i="17"/>
  <c r="I189" i="17"/>
  <c r="U189" i="17"/>
  <c r="T189" i="17"/>
  <c r="O189" i="17"/>
  <c r="N189" i="17"/>
  <c r="I188" i="17"/>
  <c r="U188" i="17"/>
  <c r="T188" i="17"/>
  <c r="O188" i="17"/>
  <c r="N188" i="17"/>
  <c r="I187" i="17"/>
  <c r="U187" i="17"/>
  <c r="T187" i="17"/>
  <c r="O187" i="17"/>
  <c r="N187" i="17"/>
  <c r="I186" i="17"/>
  <c r="U186" i="17"/>
  <c r="T186" i="17"/>
  <c r="O186" i="17"/>
  <c r="N186" i="17"/>
  <c r="I185" i="17"/>
  <c r="U185" i="17"/>
  <c r="T185" i="17"/>
  <c r="O185" i="17"/>
  <c r="N185" i="17"/>
  <c r="I184" i="17"/>
  <c r="U184" i="17"/>
  <c r="T184" i="17"/>
  <c r="O184" i="17"/>
  <c r="N184" i="17"/>
  <c r="I183" i="17"/>
  <c r="U183" i="17"/>
  <c r="T183" i="17"/>
  <c r="O183" i="17"/>
  <c r="N183" i="17"/>
  <c r="I182" i="17"/>
  <c r="U182" i="17"/>
  <c r="T182" i="17"/>
  <c r="O182" i="17"/>
  <c r="N182" i="17"/>
  <c r="I181" i="17"/>
  <c r="U181" i="17"/>
  <c r="T181" i="17"/>
  <c r="O181" i="17"/>
  <c r="N181" i="17"/>
  <c r="I180" i="17"/>
  <c r="U180" i="17"/>
  <c r="T180" i="17"/>
  <c r="O180" i="17"/>
  <c r="N180" i="17"/>
  <c r="I179" i="17"/>
  <c r="U179" i="17"/>
  <c r="T179" i="17"/>
  <c r="O179" i="17"/>
  <c r="N179" i="17"/>
  <c r="I178" i="17"/>
  <c r="U178" i="17"/>
  <c r="T178" i="17"/>
  <c r="O178" i="17"/>
  <c r="N178" i="17"/>
  <c r="I177" i="17"/>
  <c r="U177" i="17"/>
  <c r="T177" i="17"/>
  <c r="O177" i="17"/>
  <c r="N177" i="17"/>
  <c r="I176" i="17"/>
  <c r="T176" i="17"/>
  <c r="U176" i="17"/>
  <c r="O176" i="17"/>
  <c r="N176" i="17"/>
  <c r="I175" i="17"/>
  <c r="U175" i="17"/>
  <c r="G174" i="17"/>
  <c r="I174" i="17"/>
  <c r="U174" i="17"/>
  <c r="T175" i="17"/>
  <c r="O175" i="17"/>
  <c r="N175" i="17"/>
  <c r="T174" i="17"/>
  <c r="O174" i="17"/>
  <c r="N174" i="17"/>
  <c r="I173" i="17"/>
  <c r="U173" i="17"/>
  <c r="G172" i="17"/>
  <c r="I171" i="17"/>
  <c r="U171" i="17"/>
  <c r="I170" i="17"/>
  <c r="U170" i="17"/>
  <c r="I169" i="17"/>
  <c r="U169" i="17"/>
  <c r="O173" i="17"/>
  <c r="N173" i="17"/>
  <c r="O172" i="17"/>
  <c r="N172" i="17"/>
  <c r="O171" i="17"/>
  <c r="N171" i="17"/>
  <c r="O170" i="17"/>
  <c r="N170" i="17"/>
  <c r="O169" i="17"/>
  <c r="N169" i="17"/>
  <c r="T173" i="17"/>
  <c r="I172" i="17"/>
  <c r="U172" i="17"/>
  <c r="T172" i="17"/>
  <c r="T171" i="17"/>
  <c r="T170" i="17"/>
  <c r="T169" i="17"/>
  <c r="G168" i="17"/>
  <c r="I168" i="17"/>
  <c r="U168" i="17"/>
  <c r="T168" i="17"/>
  <c r="O168" i="17"/>
  <c r="N168" i="17"/>
  <c r="T167" i="17"/>
  <c r="T125" i="17"/>
  <c r="T124" i="17"/>
  <c r="U125" i="17"/>
  <c r="O125" i="17"/>
  <c r="N125" i="17"/>
  <c r="U124" i="17"/>
  <c r="O124" i="17"/>
  <c r="N124" i="17"/>
  <c r="T123" i="17"/>
  <c r="T122" i="17"/>
  <c r="T121" i="17"/>
  <c r="T120" i="17"/>
  <c r="T119" i="17"/>
  <c r="T118" i="17"/>
  <c r="T117" i="17"/>
  <c r="T116" i="17"/>
  <c r="T115" i="17"/>
  <c r="T114" i="17"/>
  <c r="U123" i="17"/>
  <c r="O123" i="17"/>
  <c r="N123" i="17"/>
  <c r="U122" i="17"/>
  <c r="O122" i="17"/>
  <c r="N122" i="17"/>
  <c r="U121" i="17"/>
  <c r="O121" i="17"/>
  <c r="N121" i="17"/>
  <c r="U120" i="17"/>
  <c r="O120" i="17"/>
  <c r="N120" i="17"/>
  <c r="U119" i="17"/>
  <c r="O119" i="17"/>
  <c r="N119" i="17"/>
  <c r="U118" i="17"/>
  <c r="O118" i="17"/>
  <c r="N118" i="17"/>
  <c r="U117" i="17"/>
  <c r="O117" i="17"/>
  <c r="N117" i="17"/>
  <c r="U116" i="17"/>
  <c r="O116" i="17"/>
  <c r="N116" i="17"/>
  <c r="U115" i="17"/>
  <c r="O115" i="17"/>
  <c r="N115" i="17"/>
  <c r="U114" i="17"/>
  <c r="O114" i="17"/>
  <c r="N114" i="17"/>
  <c r="U113" i="17"/>
  <c r="T113" i="17"/>
  <c r="O113" i="17"/>
  <c r="N113" i="17"/>
  <c r="U112" i="17"/>
  <c r="T112" i="17"/>
  <c r="O112" i="17"/>
  <c r="N112" i="17"/>
  <c r="U111" i="17"/>
  <c r="T111" i="17"/>
  <c r="O111" i="17"/>
  <c r="N111" i="17"/>
  <c r="U110" i="17"/>
  <c r="T110" i="17"/>
  <c r="O110" i="17"/>
  <c r="N110" i="17"/>
  <c r="U109" i="17"/>
  <c r="T109" i="17"/>
  <c r="O109" i="17"/>
  <c r="N109" i="17"/>
  <c r="U108" i="17"/>
  <c r="T108" i="17"/>
  <c r="O108" i="17"/>
  <c r="N108" i="17"/>
  <c r="U107" i="17"/>
  <c r="T107" i="17"/>
  <c r="O107" i="17"/>
  <c r="N107" i="17"/>
  <c r="U106" i="17"/>
  <c r="T106" i="17"/>
  <c r="O106" i="17"/>
  <c r="N106" i="17"/>
  <c r="U105" i="17"/>
  <c r="T105" i="17"/>
  <c r="O105" i="17"/>
  <c r="N105" i="17"/>
  <c r="U104" i="17"/>
  <c r="T104" i="17"/>
  <c r="O104" i="17"/>
  <c r="N104" i="17"/>
  <c r="U103" i="17"/>
  <c r="T103" i="17"/>
  <c r="O103" i="17"/>
  <c r="N103" i="17"/>
  <c r="U102" i="17"/>
  <c r="T102" i="17"/>
  <c r="O102" i="17"/>
  <c r="N102" i="17"/>
  <c r="U101" i="17"/>
  <c r="T101" i="17"/>
  <c r="O101" i="17"/>
  <c r="N101" i="17"/>
  <c r="U100" i="17"/>
  <c r="T100" i="17"/>
  <c r="O100" i="17"/>
  <c r="N100" i="17"/>
  <c r="U99" i="17"/>
  <c r="T99" i="17"/>
  <c r="O99" i="17"/>
  <c r="N99" i="17"/>
  <c r="U98" i="17"/>
  <c r="T98" i="17"/>
  <c r="O98" i="17"/>
  <c r="N98" i="17"/>
  <c r="U97" i="17"/>
  <c r="T97" i="17"/>
  <c r="O97" i="17"/>
  <c r="N97" i="17"/>
  <c r="U96" i="17"/>
  <c r="T96" i="17"/>
  <c r="O96" i="17"/>
  <c r="N96" i="17"/>
  <c r="U95" i="17"/>
  <c r="T95" i="17"/>
  <c r="O95" i="17"/>
  <c r="N95" i="17"/>
  <c r="U94" i="17"/>
  <c r="T94" i="17"/>
  <c r="O94" i="17"/>
  <c r="N94" i="17"/>
  <c r="U93" i="17"/>
  <c r="T93" i="17"/>
  <c r="O93" i="17"/>
  <c r="N93" i="17"/>
  <c r="U92" i="17"/>
  <c r="T92" i="17"/>
  <c r="O92" i="17"/>
  <c r="N92" i="17"/>
  <c r="U91" i="17"/>
  <c r="T91" i="17"/>
  <c r="O91" i="17"/>
  <c r="N91" i="17"/>
  <c r="U90" i="17"/>
  <c r="T90" i="17"/>
  <c r="O90" i="17"/>
  <c r="N90" i="17"/>
  <c r="T89" i="17"/>
  <c r="G89" i="17"/>
  <c r="U89" i="17"/>
  <c r="O89" i="17"/>
  <c r="N89" i="17"/>
  <c r="G88" i="17"/>
  <c r="U88" i="17"/>
  <c r="T88" i="17"/>
  <c r="O88" i="17"/>
  <c r="N88" i="17"/>
  <c r="U87" i="17"/>
  <c r="T87" i="17"/>
  <c r="O87" i="17"/>
  <c r="N87" i="17"/>
  <c r="G86" i="17"/>
  <c r="U86" i="17"/>
  <c r="T86" i="17"/>
  <c r="O86" i="17"/>
  <c r="N86" i="17"/>
  <c r="G85" i="17"/>
  <c r="U85" i="17"/>
  <c r="T85" i="17"/>
  <c r="O85" i="17"/>
  <c r="N85" i="17"/>
  <c r="G84" i="17"/>
  <c r="U84" i="17"/>
  <c r="T84" i="17"/>
  <c r="O84" i="17"/>
  <c r="N84" i="17"/>
  <c r="G83" i="17"/>
  <c r="U83" i="17"/>
  <c r="T83" i="17"/>
  <c r="O83" i="17"/>
  <c r="N83" i="17"/>
  <c r="G82" i="17"/>
  <c r="U82" i="17"/>
  <c r="T82" i="17"/>
  <c r="O82" i="17"/>
  <c r="N82" i="17"/>
  <c r="G81" i="17"/>
  <c r="T81" i="17"/>
  <c r="U81" i="17"/>
  <c r="O81" i="17"/>
  <c r="N81" i="17"/>
  <c r="U65" i="17"/>
  <c r="T65" i="17"/>
  <c r="N65" i="17"/>
  <c r="G65" i="17"/>
  <c r="U64" i="17"/>
  <c r="T64" i="17"/>
  <c r="N64" i="17"/>
  <c r="H64" i="17"/>
  <c r="G64" i="17"/>
  <c r="U80" i="17"/>
  <c r="T80" i="17"/>
  <c r="O80" i="17"/>
  <c r="N80" i="17"/>
  <c r="U79" i="17"/>
  <c r="T79" i="17"/>
  <c r="O79" i="17"/>
  <c r="N79" i="17"/>
  <c r="U78" i="17"/>
  <c r="T78" i="17"/>
  <c r="O78" i="17"/>
  <c r="N78" i="17"/>
  <c r="U77" i="17"/>
  <c r="T77" i="17"/>
  <c r="O77" i="17"/>
  <c r="N77" i="17"/>
  <c r="T76" i="17"/>
  <c r="U76" i="17"/>
  <c r="O76" i="17"/>
  <c r="N76" i="17"/>
  <c r="U63" i="17"/>
  <c r="K63" i="17"/>
  <c r="Q63" i="17"/>
  <c r="V63" i="17"/>
  <c r="P63" i="17"/>
  <c r="T63" i="17"/>
  <c r="T75" i="17"/>
  <c r="U75" i="17"/>
  <c r="O75" i="17"/>
  <c r="N75" i="17"/>
  <c r="T69" i="17"/>
  <c r="T70" i="17"/>
  <c r="T71" i="17"/>
  <c r="T72" i="17"/>
  <c r="T73" i="17"/>
  <c r="T74" i="17"/>
  <c r="G74" i="17"/>
  <c r="U74" i="17"/>
  <c r="O74" i="17"/>
  <c r="N74" i="17"/>
  <c r="U62" i="17"/>
  <c r="H62" i="17"/>
  <c r="T62" i="17"/>
  <c r="O62" i="17"/>
  <c r="N62" i="17"/>
  <c r="U73" i="17"/>
  <c r="O73" i="17"/>
  <c r="N73" i="17"/>
  <c r="U72" i="17"/>
  <c r="O72" i="17"/>
  <c r="N72" i="17"/>
  <c r="U71" i="17"/>
  <c r="O71" i="17"/>
  <c r="N71" i="17"/>
  <c r="U70" i="17"/>
  <c r="T68" i="17"/>
  <c r="O70" i="17"/>
  <c r="N70" i="17"/>
  <c r="U69" i="17"/>
  <c r="O69" i="17"/>
  <c r="N69" i="17"/>
  <c r="U61" i="17"/>
  <c r="V61" i="17"/>
  <c r="R61" i="17"/>
  <c r="K61" i="17"/>
  <c r="Q61" i="17"/>
  <c r="P61" i="17"/>
  <c r="T61" i="17"/>
  <c r="U60" i="17"/>
  <c r="G60" i="17"/>
  <c r="N60" i="17"/>
  <c r="H60" i="17"/>
  <c r="T60" i="17"/>
  <c r="U59" i="17"/>
  <c r="T59" i="17"/>
  <c r="N59" i="17"/>
  <c r="H59" i="17"/>
  <c r="O59" i="17"/>
  <c r="G59" i="17"/>
  <c r="U68" i="17"/>
  <c r="O68" i="17"/>
  <c r="N68" i="17"/>
  <c r="G67" i="17"/>
  <c r="U67" i="17"/>
  <c r="T67" i="17"/>
  <c r="O67" i="17"/>
  <c r="N67" i="17"/>
  <c r="I66" i="17"/>
  <c r="U66" i="17"/>
  <c r="T66" i="17"/>
  <c r="O66" i="17"/>
  <c r="N66" i="17"/>
  <c r="U58" i="17"/>
  <c r="H57" i="17"/>
  <c r="G57" i="17"/>
  <c r="U57" i="17"/>
  <c r="T58" i="17"/>
  <c r="T57" i="17"/>
  <c r="O58" i="17"/>
  <c r="N58" i="17"/>
  <c r="O57" i="17"/>
  <c r="N57" i="17"/>
  <c r="U56" i="17"/>
  <c r="T56" i="17"/>
  <c r="H56" i="17"/>
  <c r="G56" i="17"/>
  <c r="U31" i="17"/>
  <c r="U29" i="17"/>
  <c r="T31" i="17"/>
  <c r="T29" i="17"/>
  <c r="U55" i="17"/>
  <c r="T55" i="17"/>
  <c r="O55" i="17"/>
  <c r="N55" i="17"/>
  <c r="T53" i="17"/>
  <c r="U52" i="17"/>
  <c r="O54" i="17"/>
  <c r="N54" i="17"/>
  <c r="O53" i="17"/>
  <c r="N53" i="17"/>
  <c r="O52" i="17"/>
  <c r="N52" i="17"/>
  <c r="U54" i="17"/>
  <c r="T54" i="17"/>
  <c r="U53" i="17"/>
  <c r="T52" i="17"/>
  <c r="T51" i="17"/>
  <c r="G51" i="17"/>
  <c r="U50" i="17"/>
  <c r="G49" i="17"/>
  <c r="U51" i="17"/>
  <c r="U49" i="17"/>
  <c r="G47" i="17"/>
  <c r="U47" i="17"/>
  <c r="U48" i="17"/>
  <c r="T50" i="17"/>
  <c r="T49" i="17"/>
  <c r="T48" i="17"/>
  <c r="O51" i="17"/>
  <c r="N51" i="17"/>
  <c r="O50" i="17"/>
  <c r="N50" i="17"/>
  <c r="O49" i="17"/>
  <c r="N49" i="17"/>
  <c r="O48" i="17"/>
  <c r="N48" i="17"/>
  <c r="T47" i="17"/>
  <c r="O47" i="17"/>
  <c r="N47" i="17"/>
  <c r="U27" i="17"/>
  <c r="U26" i="17"/>
  <c r="R25" i="17"/>
  <c r="Q25" i="17"/>
  <c r="V25" i="17"/>
  <c r="U25" i="17"/>
  <c r="T25" i="17"/>
  <c r="AC27" i="17"/>
  <c r="AB27" i="17"/>
  <c r="AA27" i="17"/>
  <c r="Y27" i="17"/>
  <c r="Z27" i="17"/>
  <c r="I40" i="17"/>
  <c r="U40" i="17"/>
  <c r="N40" i="17"/>
  <c r="O40" i="17"/>
  <c r="AC40" i="17"/>
  <c r="AB40" i="17"/>
  <c r="AA40" i="17"/>
  <c r="Y40" i="17"/>
  <c r="Z40" i="17"/>
  <c r="T40" i="17"/>
  <c r="K25" i="17"/>
  <c r="G24" i="17"/>
  <c r="H24" i="17"/>
  <c r="U24" i="17"/>
  <c r="T24" i="17"/>
  <c r="N24" i="17"/>
  <c r="N41" i="17"/>
  <c r="O41" i="17"/>
  <c r="G23" i="17"/>
  <c r="U23" i="17"/>
  <c r="T23" i="17"/>
  <c r="N23" i="17"/>
  <c r="V22" i="17"/>
  <c r="K22" i="17"/>
  <c r="Q22" i="17"/>
  <c r="U22" i="17"/>
  <c r="T22" i="17"/>
  <c r="U39" i="17"/>
  <c r="U38" i="17"/>
  <c r="T39" i="17"/>
  <c r="T38" i="17"/>
  <c r="O39" i="17"/>
  <c r="N39" i="17"/>
  <c r="O38" i="17"/>
  <c r="N38" i="17"/>
  <c r="U21" i="17"/>
  <c r="T37" i="17"/>
  <c r="T36" i="17"/>
  <c r="T35" i="17"/>
  <c r="T21" i="17"/>
  <c r="U37" i="17"/>
  <c r="O37" i="17"/>
  <c r="N37" i="17"/>
  <c r="U36" i="17"/>
  <c r="O36" i="17"/>
  <c r="N36" i="17"/>
  <c r="G35" i="17"/>
  <c r="U35" i="17"/>
  <c r="O35" i="17"/>
  <c r="N35" i="17"/>
  <c r="G33" i="17"/>
  <c r="P21" i="17"/>
  <c r="U20" i="17"/>
  <c r="T20" i="17"/>
  <c r="G20" i="17"/>
  <c r="G32" i="17"/>
  <c r="U32" i="17"/>
  <c r="T32" i="17"/>
  <c r="O32" i="17"/>
  <c r="N32" i="17"/>
  <c r="I32" i="17"/>
  <c r="U18" i="17"/>
  <c r="G19" i="17"/>
  <c r="U19" i="17"/>
  <c r="T19" i="17"/>
  <c r="T18" i="17"/>
  <c r="N19" i="17"/>
  <c r="N18" i="17"/>
  <c r="G30" i="17"/>
  <c r="U30" i="17"/>
  <c r="T30" i="17"/>
  <c r="O30" i="17"/>
  <c r="N30" i="17"/>
  <c r="I30" i="17"/>
  <c r="G17" i="17"/>
  <c r="U17" i="17"/>
  <c r="T17" i="17"/>
  <c r="N17" i="17"/>
  <c r="R14" i="17"/>
  <c r="G16" i="17"/>
  <c r="U16" i="17"/>
  <c r="T16" i="17"/>
  <c r="N16" i="17"/>
  <c r="U15" i="17"/>
  <c r="T15" i="17"/>
  <c r="G15" i="17"/>
  <c r="AC221" i="17"/>
  <c r="AC220" i="17"/>
  <c r="AC219" i="17"/>
  <c r="AC218" i="17"/>
  <c r="AC217" i="17"/>
  <c r="AC216" i="17"/>
  <c r="AC215" i="17"/>
  <c r="AC214" i="17"/>
  <c r="AC213" i="17"/>
  <c r="AC212" i="17"/>
  <c r="AC211" i="17"/>
  <c r="AC210" i="17"/>
  <c r="AC209" i="17"/>
  <c r="AC208" i="17"/>
  <c r="AC207" i="17"/>
  <c r="AC206" i="17"/>
  <c r="AC205" i="17"/>
  <c r="AC204" i="17"/>
  <c r="AC203" i="17"/>
  <c r="AC202" i="17"/>
  <c r="AC201" i="17"/>
  <c r="AC200" i="17"/>
  <c r="AC199" i="17"/>
  <c r="AC198" i="17"/>
  <c r="AC197" i="17"/>
  <c r="AC196" i="17"/>
  <c r="AC195" i="17"/>
  <c r="AC194" i="17"/>
  <c r="AC193" i="17"/>
  <c r="AC192" i="17"/>
  <c r="AC191" i="17"/>
  <c r="AC190" i="17"/>
  <c r="AC189" i="17"/>
  <c r="AC188" i="17"/>
  <c r="AC187" i="17"/>
  <c r="AC186" i="17"/>
  <c r="AC185" i="17"/>
  <c r="AC184" i="17"/>
  <c r="AC183" i="17"/>
  <c r="AC182" i="17"/>
  <c r="AC181" i="17"/>
  <c r="AC180" i="17"/>
  <c r="AC179" i="17"/>
  <c r="AC178" i="17"/>
  <c r="AC177" i="17"/>
  <c r="AC176" i="17"/>
  <c r="AC175" i="17"/>
  <c r="AC174" i="17"/>
  <c r="AC173" i="17"/>
  <c r="AC172" i="17"/>
  <c r="AC171" i="17"/>
  <c r="AC170" i="17"/>
  <c r="AC169" i="17"/>
  <c r="AC168" i="17"/>
  <c r="AC125" i="17"/>
  <c r="AC124" i="17"/>
  <c r="AC123" i="17"/>
  <c r="AC122" i="17"/>
  <c r="AC121" i="17"/>
  <c r="AC120" i="17"/>
  <c r="AC119" i="17"/>
  <c r="AC118" i="17"/>
  <c r="AC117" i="17"/>
  <c r="AC116" i="17"/>
  <c r="AC115" i="17"/>
  <c r="AC114" i="17"/>
  <c r="AC113" i="17"/>
  <c r="AC112" i="17"/>
  <c r="AC111" i="17"/>
  <c r="AC110" i="17"/>
  <c r="AC109" i="17"/>
  <c r="AC108" i="17"/>
  <c r="AC107" i="17"/>
  <c r="AC106" i="17"/>
  <c r="AC105" i="17"/>
  <c r="AC104" i="17"/>
  <c r="AC103" i="17"/>
  <c r="AC102" i="17"/>
  <c r="AC101" i="17"/>
  <c r="AC100" i="17"/>
  <c r="AC99" i="17"/>
  <c r="AC98" i="17"/>
  <c r="AC97" i="17"/>
  <c r="AC96" i="17"/>
  <c r="AC95" i="17"/>
  <c r="AC94" i="17"/>
  <c r="AC93" i="17"/>
  <c r="AC92" i="17"/>
  <c r="AC91" i="17"/>
  <c r="AC90" i="17"/>
  <c r="AC89" i="17"/>
  <c r="AC88" i="17"/>
  <c r="AC87" i="17"/>
  <c r="AC86" i="17"/>
  <c r="AC85" i="17"/>
  <c r="AC84" i="17"/>
  <c r="AC83" i="17"/>
  <c r="AC82" i="17"/>
  <c r="AC81" i="17"/>
  <c r="AC80" i="17"/>
  <c r="AC79" i="17"/>
  <c r="AC78" i="17"/>
  <c r="AC77" i="17"/>
  <c r="AC76" i="17"/>
  <c r="AC75" i="17"/>
  <c r="AC74" i="17"/>
  <c r="AC73" i="17"/>
  <c r="AC72" i="17"/>
  <c r="AC71" i="17"/>
  <c r="AC70" i="17"/>
  <c r="AC69" i="17"/>
  <c r="AC68" i="17"/>
  <c r="AC67" i="17"/>
  <c r="AC66" i="17"/>
  <c r="AC65" i="17"/>
  <c r="AC64" i="17"/>
  <c r="AC63" i="17"/>
  <c r="AC62" i="17"/>
  <c r="AC61" i="17"/>
  <c r="AC60" i="17"/>
  <c r="AC59" i="17"/>
  <c r="AC58" i="17"/>
  <c r="AC57" i="17"/>
  <c r="AC56" i="17"/>
  <c r="AC55" i="17"/>
  <c r="AC54" i="17"/>
  <c r="AC53" i="17"/>
  <c r="AC52" i="17"/>
  <c r="AC51" i="17"/>
  <c r="AC50" i="17"/>
  <c r="AC49" i="17"/>
  <c r="AC48" i="17"/>
  <c r="AC47" i="17"/>
  <c r="AC46" i="17"/>
  <c r="AC41" i="17"/>
  <c r="AC39" i="17"/>
  <c r="AC38" i="17"/>
  <c r="AC37" i="17"/>
  <c r="AC36" i="17"/>
  <c r="AC35" i="17"/>
  <c r="AC34" i="17"/>
  <c r="AC33" i="17"/>
  <c r="AC32" i="17"/>
  <c r="AC31" i="17"/>
  <c r="AC30" i="17"/>
  <c r="AC29" i="17"/>
  <c r="AC28" i="17"/>
  <c r="AC26" i="17"/>
  <c r="AC25" i="17"/>
  <c r="AC24" i="17"/>
  <c r="AC23" i="17"/>
  <c r="AC22" i="17"/>
  <c r="AC21" i="17"/>
  <c r="AC20" i="17"/>
  <c r="AC19" i="17"/>
  <c r="AC18" i="17"/>
  <c r="AC17" i="17"/>
  <c r="AC16" i="17"/>
  <c r="AC15" i="17"/>
  <c r="AC13" i="17"/>
  <c r="N12" i="17"/>
  <c r="AC12" i="17"/>
  <c r="N11" i="17"/>
  <c r="O11" i="17"/>
  <c r="K11" i="17"/>
  <c r="Q11" i="17"/>
  <c r="R11" i="17"/>
  <c r="AC11" i="17"/>
  <c r="AC10" i="17"/>
  <c r="Q14" i="17"/>
  <c r="AC14" i="17"/>
  <c r="V14" i="17"/>
  <c r="K14" i="17"/>
  <c r="T14" i="17"/>
  <c r="U14" i="17"/>
  <c r="U11" i="17"/>
  <c r="M11" i="17"/>
  <c r="U13" i="17"/>
  <c r="T13" i="17"/>
  <c r="I13" i="17"/>
  <c r="H13" i="17"/>
  <c r="G13" i="17"/>
  <c r="U28" i="17"/>
  <c r="T28" i="17"/>
  <c r="I28" i="17"/>
  <c r="G28" i="17"/>
  <c r="G12" i="17"/>
  <c r="H12" i="17"/>
  <c r="U12" i="17"/>
  <c r="T12" i="17"/>
  <c r="V11" i="17"/>
  <c r="AB221" i="17"/>
  <c r="AA221" i="17"/>
  <c r="Y221" i="17"/>
  <c r="Z221" i="17"/>
  <c r="AB220" i="17"/>
  <c r="AA220" i="17"/>
  <c r="Y220" i="17"/>
  <c r="Z220" i="17"/>
  <c r="AB219" i="17"/>
  <c r="AA219" i="17"/>
  <c r="Y219" i="17"/>
  <c r="Z219" i="17"/>
  <c r="AB218" i="17"/>
  <c r="AA218" i="17"/>
  <c r="Y218" i="17"/>
  <c r="Z218" i="17"/>
  <c r="AB217" i="17"/>
  <c r="AA217" i="17"/>
  <c r="Y217" i="17"/>
  <c r="Z217" i="17"/>
  <c r="AB216" i="17"/>
  <c r="AA216" i="17"/>
  <c r="Y216" i="17"/>
  <c r="Z216" i="17"/>
  <c r="AB215" i="17"/>
  <c r="AA215" i="17"/>
  <c r="Y215" i="17"/>
  <c r="Z215" i="17"/>
  <c r="AB214" i="17"/>
  <c r="AA214" i="17"/>
  <c r="Y214" i="17"/>
  <c r="Z214" i="17"/>
  <c r="AB213" i="17"/>
  <c r="AA213" i="17"/>
  <c r="Y213" i="17"/>
  <c r="Z213" i="17"/>
  <c r="AB212" i="17"/>
  <c r="AA212" i="17"/>
  <c r="Y212" i="17"/>
  <c r="Z212" i="17"/>
  <c r="AB211" i="17"/>
  <c r="AA211" i="17"/>
  <c r="Y211" i="17"/>
  <c r="Z211" i="17"/>
  <c r="AB210" i="17"/>
  <c r="AA210" i="17"/>
  <c r="Y210" i="17"/>
  <c r="Z210" i="17"/>
  <c r="AB209" i="17"/>
  <c r="AA209" i="17"/>
  <c r="Y209" i="17"/>
  <c r="Z209" i="17"/>
  <c r="AB208" i="17"/>
  <c r="AA208" i="17"/>
  <c r="Y208" i="17"/>
  <c r="Z208" i="17"/>
  <c r="AB207" i="17"/>
  <c r="AA207" i="17"/>
  <c r="Y207" i="17"/>
  <c r="Z207" i="17"/>
  <c r="AB206" i="17"/>
  <c r="AA206" i="17"/>
  <c r="Y206" i="17"/>
  <c r="Z206" i="17"/>
  <c r="AB205" i="17"/>
  <c r="AA205" i="17"/>
  <c r="Y205" i="17"/>
  <c r="Z205" i="17"/>
  <c r="AB204" i="17"/>
  <c r="AA204" i="17"/>
  <c r="Y204" i="17"/>
  <c r="Z204" i="17"/>
  <c r="AB203" i="17"/>
  <c r="AA203" i="17"/>
  <c r="Y203" i="17"/>
  <c r="Z203" i="17"/>
  <c r="AB202" i="17"/>
  <c r="AA202" i="17"/>
  <c r="Y202" i="17"/>
  <c r="Z202" i="17"/>
  <c r="AB201" i="17"/>
  <c r="AA201" i="17"/>
  <c r="Y201" i="17"/>
  <c r="Z201" i="17"/>
  <c r="AB200" i="17"/>
  <c r="AA200" i="17"/>
  <c r="Y200" i="17"/>
  <c r="Z200" i="17"/>
  <c r="AB199" i="17"/>
  <c r="AA199" i="17"/>
  <c r="Y199" i="17"/>
  <c r="Z199" i="17"/>
  <c r="AB198" i="17"/>
  <c r="AA198" i="17"/>
  <c r="Y198" i="17"/>
  <c r="Z198" i="17"/>
  <c r="AB197" i="17"/>
  <c r="AA197" i="17"/>
  <c r="Y197" i="17"/>
  <c r="Z197" i="17"/>
  <c r="AB196" i="17"/>
  <c r="AA196" i="17"/>
  <c r="Y196" i="17"/>
  <c r="Z196" i="17"/>
  <c r="AB195" i="17"/>
  <c r="AA195" i="17"/>
  <c r="Y195" i="17"/>
  <c r="Z195" i="17"/>
  <c r="AB194" i="17"/>
  <c r="AA194" i="17"/>
  <c r="Y194" i="17"/>
  <c r="Z194" i="17"/>
  <c r="AB193" i="17"/>
  <c r="AA193" i="17"/>
  <c r="Y193" i="17"/>
  <c r="Z193" i="17"/>
  <c r="AB192" i="17"/>
  <c r="AA192" i="17"/>
  <c r="Y192" i="17"/>
  <c r="Z192" i="17"/>
  <c r="AB191" i="17"/>
  <c r="AA191" i="17"/>
  <c r="Y191" i="17"/>
  <c r="Z191" i="17"/>
  <c r="AB190" i="17"/>
  <c r="AA190" i="17"/>
  <c r="Y190" i="17"/>
  <c r="Z190" i="17"/>
  <c r="AB189" i="17"/>
  <c r="AA189" i="17"/>
  <c r="Y189" i="17"/>
  <c r="Z189" i="17"/>
  <c r="AB188" i="17"/>
  <c r="AA188" i="17"/>
  <c r="Y188" i="17"/>
  <c r="Z188" i="17"/>
  <c r="AB187" i="17"/>
  <c r="AA187" i="17"/>
  <c r="Y187" i="17"/>
  <c r="Z187" i="17"/>
  <c r="AB186" i="17"/>
  <c r="AA186" i="17"/>
  <c r="Y186" i="17"/>
  <c r="Z186" i="17"/>
  <c r="AB185" i="17"/>
  <c r="AA185" i="17"/>
  <c r="Y185" i="17"/>
  <c r="Z185" i="17"/>
  <c r="AB184" i="17"/>
  <c r="AA184" i="17"/>
  <c r="Y184" i="17"/>
  <c r="Z184" i="17"/>
  <c r="AB183" i="17"/>
  <c r="AA183" i="17"/>
  <c r="Y183" i="17"/>
  <c r="Z183" i="17"/>
  <c r="AB182" i="17"/>
  <c r="AA182" i="17"/>
  <c r="Y182" i="17"/>
  <c r="Z182" i="17"/>
  <c r="AB181" i="17"/>
  <c r="AA181" i="17"/>
  <c r="Y181" i="17"/>
  <c r="Z181" i="17"/>
  <c r="AB180" i="17"/>
  <c r="AA180" i="17"/>
  <c r="Y180" i="17"/>
  <c r="Z180" i="17"/>
  <c r="AB179" i="17"/>
  <c r="AA179" i="17"/>
  <c r="Y179" i="17"/>
  <c r="Z179" i="17"/>
  <c r="AB178" i="17"/>
  <c r="AA178" i="17"/>
  <c r="Y178" i="17"/>
  <c r="Z178" i="17"/>
  <c r="AB177" i="17"/>
  <c r="AA177" i="17"/>
  <c r="Y177" i="17"/>
  <c r="Z177" i="17"/>
  <c r="AB176" i="17"/>
  <c r="AA176" i="17"/>
  <c r="Y176" i="17"/>
  <c r="Z176" i="17"/>
  <c r="AB175" i="17"/>
  <c r="AA175" i="17"/>
  <c r="Y175" i="17"/>
  <c r="Z175" i="17"/>
  <c r="AB174" i="17"/>
  <c r="AA174" i="17"/>
  <c r="Y174" i="17"/>
  <c r="Z174" i="17"/>
  <c r="AB173" i="17"/>
  <c r="AA173" i="17"/>
  <c r="Y173" i="17"/>
  <c r="Z173" i="17"/>
  <c r="AB172" i="17"/>
  <c r="AA172" i="17"/>
  <c r="Y172" i="17"/>
  <c r="Z172" i="17"/>
  <c r="AB171" i="17"/>
  <c r="AA171" i="17"/>
  <c r="Y171" i="17"/>
  <c r="Z171" i="17"/>
  <c r="AB170" i="17"/>
  <c r="AA170" i="17"/>
  <c r="Y170" i="17"/>
  <c r="Z170" i="17"/>
  <c r="AB169" i="17"/>
  <c r="AA169" i="17"/>
  <c r="Y169" i="17"/>
  <c r="Z169" i="17"/>
  <c r="AB168" i="17"/>
  <c r="AA168" i="17"/>
  <c r="Y168" i="17"/>
  <c r="Z168" i="17"/>
  <c r="AB125" i="17"/>
  <c r="AA125" i="17"/>
  <c r="Y125" i="17"/>
  <c r="Z125" i="17"/>
  <c r="AB124" i="17"/>
  <c r="AA124" i="17"/>
  <c r="Y124" i="17"/>
  <c r="Z124" i="17"/>
  <c r="AB123" i="17"/>
  <c r="AA123" i="17"/>
  <c r="Y123" i="17"/>
  <c r="Z123" i="17"/>
  <c r="AB122" i="17"/>
  <c r="AA122" i="17"/>
  <c r="Y122" i="17"/>
  <c r="Z122" i="17"/>
  <c r="AB121" i="17"/>
  <c r="AA121" i="17"/>
  <c r="Y121" i="17"/>
  <c r="Z121" i="17"/>
  <c r="AB120" i="17"/>
  <c r="AA120" i="17"/>
  <c r="Y120" i="17"/>
  <c r="Z120" i="17"/>
  <c r="AB119" i="17"/>
  <c r="AA119" i="17"/>
  <c r="Y119" i="17"/>
  <c r="Z119" i="17"/>
  <c r="AB118" i="17"/>
  <c r="AA118" i="17"/>
  <c r="Y118" i="17"/>
  <c r="Z118" i="17"/>
  <c r="AB117" i="17"/>
  <c r="AA117" i="17"/>
  <c r="Y117" i="17"/>
  <c r="Z117" i="17"/>
  <c r="AB116" i="17"/>
  <c r="AA116" i="17"/>
  <c r="Y116" i="17"/>
  <c r="Z116" i="17"/>
  <c r="AB115" i="17"/>
  <c r="AA115" i="17"/>
  <c r="Y115" i="17"/>
  <c r="Z115" i="17"/>
  <c r="AB114" i="17"/>
  <c r="AA114" i="17"/>
  <c r="Y114" i="17"/>
  <c r="Z114" i="17"/>
  <c r="AB113" i="17"/>
  <c r="AA113" i="17"/>
  <c r="Y113" i="17"/>
  <c r="Z113" i="17"/>
  <c r="AB112" i="17"/>
  <c r="AA112" i="17"/>
  <c r="Y112" i="17"/>
  <c r="Z112" i="17"/>
  <c r="AB111" i="17"/>
  <c r="AA111" i="17"/>
  <c r="Y111" i="17"/>
  <c r="Z111" i="17"/>
  <c r="AB110" i="17"/>
  <c r="AA110" i="17"/>
  <c r="Y110" i="17"/>
  <c r="Z110" i="17"/>
  <c r="AB109" i="17"/>
  <c r="AA109" i="17"/>
  <c r="Y109" i="17"/>
  <c r="Z109" i="17"/>
  <c r="AB108" i="17"/>
  <c r="AA108" i="17"/>
  <c r="Y108" i="17"/>
  <c r="Z108" i="17"/>
  <c r="AB107" i="17"/>
  <c r="AA107" i="17"/>
  <c r="Y107" i="17"/>
  <c r="Z107" i="17"/>
  <c r="AB106" i="17"/>
  <c r="AA106" i="17"/>
  <c r="Y106" i="17"/>
  <c r="Z106" i="17"/>
  <c r="AB105" i="17"/>
  <c r="AA105" i="17"/>
  <c r="Y105" i="17"/>
  <c r="Z105" i="17"/>
  <c r="AB104" i="17"/>
  <c r="AA104" i="17"/>
  <c r="Y104" i="17"/>
  <c r="Z104" i="17"/>
  <c r="AB103" i="17"/>
  <c r="AA103" i="17"/>
  <c r="Y103" i="17"/>
  <c r="Z103" i="17"/>
  <c r="AB102" i="17"/>
  <c r="AA102" i="17"/>
  <c r="Y102" i="17"/>
  <c r="Z102" i="17"/>
  <c r="AB101" i="17"/>
  <c r="AA101" i="17"/>
  <c r="Y101" i="17"/>
  <c r="Z101" i="17"/>
  <c r="AB100" i="17"/>
  <c r="AA100" i="17"/>
  <c r="Y100" i="17"/>
  <c r="Z100" i="17"/>
  <c r="AB99" i="17"/>
  <c r="AA99" i="17"/>
  <c r="Y99" i="17"/>
  <c r="Z99" i="17"/>
  <c r="AB98" i="17"/>
  <c r="AA98" i="17"/>
  <c r="Y98" i="17"/>
  <c r="Z98" i="17"/>
  <c r="AB97" i="17"/>
  <c r="AA97" i="17"/>
  <c r="Y97" i="17"/>
  <c r="Z97" i="17"/>
  <c r="AB96" i="17"/>
  <c r="AA96" i="17"/>
  <c r="Y96" i="17"/>
  <c r="Z96" i="17"/>
  <c r="AB95" i="17"/>
  <c r="AA95" i="17"/>
  <c r="Y95" i="17"/>
  <c r="Z95" i="17"/>
  <c r="AB94" i="17"/>
  <c r="AA94" i="17"/>
  <c r="Y94" i="17"/>
  <c r="Z94" i="17"/>
  <c r="AB93" i="17"/>
  <c r="AA93" i="17"/>
  <c r="Y93" i="17"/>
  <c r="Z93" i="17"/>
  <c r="AB92" i="17"/>
  <c r="AA92" i="17"/>
  <c r="Y92" i="17"/>
  <c r="Z92" i="17"/>
  <c r="AB91" i="17"/>
  <c r="AA91" i="17"/>
  <c r="Y91" i="17"/>
  <c r="Z91" i="17"/>
  <c r="AB90" i="17"/>
  <c r="AA90" i="17"/>
  <c r="Y90" i="17"/>
  <c r="Z90" i="17"/>
  <c r="AB89" i="17"/>
  <c r="AA89" i="17"/>
  <c r="Y89" i="17"/>
  <c r="Z89" i="17"/>
  <c r="AB88" i="17"/>
  <c r="AA88" i="17"/>
  <c r="Y88" i="17"/>
  <c r="Z88" i="17"/>
  <c r="AB87" i="17"/>
  <c r="AA87" i="17"/>
  <c r="Y87" i="17"/>
  <c r="Z87" i="17"/>
  <c r="AB86" i="17"/>
  <c r="AA86" i="17"/>
  <c r="Y86" i="17"/>
  <c r="Z86" i="17"/>
  <c r="AB85" i="17"/>
  <c r="AA85" i="17"/>
  <c r="Y85" i="17"/>
  <c r="Z85" i="17"/>
  <c r="AB84" i="17"/>
  <c r="AA84" i="17"/>
  <c r="Y84" i="17"/>
  <c r="Z84" i="17"/>
  <c r="AB83" i="17"/>
  <c r="AA83" i="17"/>
  <c r="Y83" i="17"/>
  <c r="Z83" i="17"/>
  <c r="AB82" i="17"/>
  <c r="AA82" i="17"/>
  <c r="Y82" i="17"/>
  <c r="Z82" i="17"/>
  <c r="AB81" i="17"/>
  <c r="AA81" i="17"/>
  <c r="Y81" i="17"/>
  <c r="Z81" i="17"/>
  <c r="AB80" i="17"/>
  <c r="AA80" i="17"/>
  <c r="Y80" i="17"/>
  <c r="Z80" i="17"/>
  <c r="AB79" i="17"/>
  <c r="AA79" i="17"/>
  <c r="Y79" i="17"/>
  <c r="Z79" i="17"/>
  <c r="AB78" i="17"/>
  <c r="AA78" i="17"/>
  <c r="Y78" i="17"/>
  <c r="Z78" i="17"/>
  <c r="AB77" i="17"/>
  <c r="AA77" i="17"/>
  <c r="Y77" i="17"/>
  <c r="Z77" i="17"/>
  <c r="AB76" i="17"/>
  <c r="AA76" i="17"/>
  <c r="Y76" i="17"/>
  <c r="Z76" i="17"/>
  <c r="AB75" i="17"/>
  <c r="AA75" i="17"/>
  <c r="Y75" i="17"/>
  <c r="Z75" i="17"/>
  <c r="AB74" i="17"/>
  <c r="AA74" i="17"/>
  <c r="Y74" i="17"/>
  <c r="Z74" i="17"/>
  <c r="AB73" i="17"/>
  <c r="AA73" i="17"/>
  <c r="Y73" i="17"/>
  <c r="Z73" i="17"/>
  <c r="AB72" i="17"/>
  <c r="AA72" i="17"/>
  <c r="Y72" i="17"/>
  <c r="Z72" i="17"/>
  <c r="AB71" i="17"/>
  <c r="AA71" i="17"/>
  <c r="Y71" i="17"/>
  <c r="Z71" i="17"/>
  <c r="AB70" i="17"/>
  <c r="AA70" i="17"/>
  <c r="Y70" i="17"/>
  <c r="Z70" i="17"/>
  <c r="AB69" i="17"/>
  <c r="AA69" i="17"/>
  <c r="Y69" i="17"/>
  <c r="Z69" i="17"/>
  <c r="AB68" i="17"/>
  <c r="AA68" i="17"/>
  <c r="Y68" i="17"/>
  <c r="Z68" i="17"/>
  <c r="AB67" i="17"/>
  <c r="AA67" i="17"/>
  <c r="Y67" i="17"/>
  <c r="Z67" i="17"/>
  <c r="AB66" i="17"/>
  <c r="AA66" i="17"/>
  <c r="Y66" i="17"/>
  <c r="Z66" i="17"/>
  <c r="AB65" i="17"/>
  <c r="AA65" i="17"/>
  <c r="Y65" i="17"/>
  <c r="Z65" i="17"/>
  <c r="AB64" i="17"/>
  <c r="AA64" i="17"/>
  <c r="Y64" i="17"/>
  <c r="Z64" i="17"/>
  <c r="AB63" i="17"/>
  <c r="AA63" i="17"/>
  <c r="Y63" i="17"/>
  <c r="Z63" i="17"/>
  <c r="AB62" i="17"/>
  <c r="AA62" i="17"/>
  <c r="Y62" i="17"/>
  <c r="Z62" i="17"/>
  <c r="AB61" i="17"/>
  <c r="AA61" i="17"/>
  <c r="Y61" i="17"/>
  <c r="Z61" i="17"/>
  <c r="AB60" i="17"/>
  <c r="AA60" i="17"/>
  <c r="Y60" i="17"/>
  <c r="Z60" i="17"/>
  <c r="AB59" i="17"/>
  <c r="AA59" i="17"/>
  <c r="Y59" i="17"/>
  <c r="Z59" i="17"/>
  <c r="AB58" i="17"/>
  <c r="AA58" i="17"/>
  <c r="Y58" i="17"/>
  <c r="Z58" i="17"/>
  <c r="AB57" i="17"/>
  <c r="AA57" i="17"/>
  <c r="Y57" i="17"/>
  <c r="Z57" i="17"/>
  <c r="AB56" i="17"/>
  <c r="AA56" i="17"/>
  <c r="Y56" i="17"/>
  <c r="Z56" i="17"/>
  <c r="AB55" i="17"/>
  <c r="AA55" i="17"/>
  <c r="Y55" i="17"/>
  <c r="Z55" i="17"/>
  <c r="AB54" i="17"/>
  <c r="AA54" i="17"/>
  <c r="Y54" i="17"/>
  <c r="Z54" i="17"/>
  <c r="AB53" i="17"/>
  <c r="AA53" i="17"/>
  <c r="Y53" i="17"/>
  <c r="Z53" i="17"/>
  <c r="AB52" i="17"/>
  <c r="AA52" i="17"/>
  <c r="Y52" i="17"/>
  <c r="Z52" i="17"/>
  <c r="AB51" i="17"/>
  <c r="AA51" i="17"/>
  <c r="Y51" i="17"/>
  <c r="Z51" i="17"/>
  <c r="AB50" i="17"/>
  <c r="AA50" i="17"/>
  <c r="Y50" i="17"/>
  <c r="Z50" i="17"/>
  <c r="AB49" i="17"/>
  <c r="AA49" i="17"/>
  <c r="Y49" i="17"/>
  <c r="Z49" i="17"/>
  <c r="AB48" i="17"/>
  <c r="AA48" i="17"/>
  <c r="Y48" i="17"/>
  <c r="Z48" i="17"/>
  <c r="AB47" i="17"/>
  <c r="AA47" i="17"/>
  <c r="Y47" i="17"/>
  <c r="Z47" i="17"/>
  <c r="AB46" i="17"/>
  <c r="AA46" i="17"/>
  <c r="Y46" i="17"/>
  <c r="Z46" i="17"/>
  <c r="AB41" i="17"/>
  <c r="AA41" i="17"/>
  <c r="Y41" i="17"/>
  <c r="Z41" i="17"/>
  <c r="AB39" i="17"/>
  <c r="AA39" i="17"/>
  <c r="Y39" i="17"/>
  <c r="Z39" i="17"/>
  <c r="AB38" i="17"/>
  <c r="AA38" i="17"/>
  <c r="Y38" i="17"/>
  <c r="Z38" i="17"/>
  <c r="AB37" i="17"/>
  <c r="AA37" i="17"/>
  <c r="Y37" i="17"/>
  <c r="Z37" i="17"/>
  <c r="AB36" i="17"/>
  <c r="AA36" i="17"/>
  <c r="Y36" i="17"/>
  <c r="Z36" i="17"/>
  <c r="AB35" i="17"/>
  <c r="AA35" i="17"/>
  <c r="Y35" i="17"/>
  <c r="Z35" i="17"/>
  <c r="AB34" i="17"/>
  <c r="AA34" i="17"/>
  <c r="Y34" i="17"/>
  <c r="Z34" i="17"/>
  <c r="AB33" i="17"/>
  <c r="AA33" i="17"/>
  <c r="Y33" i="17"/>
  <c r="Z33" i="17"/>
  <c r="AB32" i="17"/>
  <c r="AA32" i="17"/>
  <c r="Y32" i="17"/>
  <c r="Z32" i="17"/>
  <c r="AB31" i="17"/>
  <c r="AA31" i="17"/>
  <c r="Y31" i="17"/>
  <c r="Z31" i="17"/>
  <c r="AB30" i="17"/>
  <c r="AA30" i="17"/>
  <c r="Y30" i="17"/>
  <c r="Z30" i="17"/>
  <c r="AB29" i="17"/>
  <c r="AA29" i="17"/>
  <c r="Y29" i="17"/>
  <c r="Z29" i="17"/>
  <c r="AB28" i="17"/>
  <c r="AA28" i="17"/>
  <c r="Y28" i="17"/>
  <c r="Z28" i="17"/>
  <c r="AB26" i="17"/>
  <c r="AA26" i="17"/>
  <c r="Y26" i="17"/>
  <c r="Z26" i="17"/>
  <c r="AB25" i="17"/>
  <c r="AA25" i="17"/>
  <c r="Y25" i="17"/>
  <c r="Z25" i="17"/>
  <c r="AB24" i="17"/>
  <c r="AA24" i="17"/>
  <c r="Y24" i="17"/>
  <c r="Z24" i="17"/>
  <c r="AB23" i="17"/>
  <c r="AA23" i="17"/>
  <c r="Y23" i="17"/>
  <c r="Z23" i="17"/>
  <c r="AB22" i="17"/>
  <c r="AA22" i="17"/>
  <c r="Y22" i="17"/>
  <c r="Z22" i="17"/>
  <c r="AB21" i="17"/>
  <c r="AA21" i="17"/>
  <c r="Y21" i="17"/>
  <c r="Z21" i="17"/>
  <c r="AB20" i="17"/>
  <c r="AA20" i="17"/>
  <c r="Y20" i="17"/>
  <c r="Z20" i="17"/>
  <c r="AB19" i="17"/>
  <c r="AA19" i="17"/>
  <c r="Y19" i="17"/>
  <c r="Z19" i="17"/>
  <c r="AB18" i="17"/>
  <c r="AA18" i="17"/>
  <c r="Y18" i="17"/>
  <c r="Z18" i="17"/>
  <c r="AB17" i="17"/>
  <c r="AA17" i="17"/>
  <c r="Y17" i="17"/>
  <c r="Z17" i="17"/>
  <c r="AB16" i="17"/>
  <c r="AA16" i="17"/>
  <c r="Y16" i="17"/>
  <c r="Z16" i="17"/>
  <c r="AB15" i="17"/>
  <c r="AA15" i="17"/>
  <c r="Y15" i="17"/>
  <c r="Z15" i="17"/>
  <c r="AB14" i="17"/>
  <c r="AA14" i="17"/>
  <c r="Y14" i="17"/>
  <c r="Z14" i="17"/>
  <c r="AB13" i="17"/>
  <c r="AA13" i="17"/>
  <c r="Y13" i="17"/>
  <c r="Z13" i="17"/>
  <c r="AB12" i="17"/>
  <c r="AA12" i="17"/>
  <c r="Y12" i="17"/>
  <c r="Z12" i="17"/>
  <c r="AB11" i="17"/>
  <c r="AA11" i="17"/>
  <c r="G11" i="17"/>
  <c r="H11" i="17"/>
  <c r="Y11" i="17"/>
  <c r="Z11" i="17"/>
  <c r="AA10" i="17"/>
  <c r="AB10" i="17"/>
  <c r="T11" i="17"/>
  <c r="Y10" i="17"/>
  <c r="Z10" i="17"/>
  <c r="Z322" i="17"/>
  <c r="Y322" i="17"/>
  <c r="AB322" i="17"/>
  <c r="AC322" i="17"/>
  <c r="AA322" i="17"/>
</calcChain>
</file>

<file path=xl/sharedStrings.xml><?xml version="1.0" encoding="utf-8"?>
<sst xmlns="http://schemas.openxmlformats.org/spreadsheetml/2006/main" count="1978" uniqueCount="637">
  <si>
    <t>Poznámka</t>
  </si>
  <si>
    <t>Rozměry</t>
  </si>
  <si>
    <t>délka</t>
  </si>
  <si>
    <t>výška</t>
  </si>
  <si>
    <t>tlouš.</t>
  </si>
  <si>
    <t>m</t>
  </si>
  <si>
    <t>CELKEM</t>
  </si>
  <si>
    <t>Označení ve výkrese</t>
  </si>
  <si>
    <t>Umístění</t>
  </si>
  <si>
    <t>Základní</t>
  </si>
  <si>
    <t>plocha</t>
  </si>
  <si>
    <t>objem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</si>
  <si>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</si>
  <si>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</si>
  <si>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Skladba</t>
  </si>
  <si>
    <t>Výměry celkem</t>
  </si>
  <si>
    <t>odečet</t>
  </si>
  <si>
    <t>přípočet</t>
  </si>
  <si>
    <t>Typ</t>
  </si>
  <si>
    <t>Popis</t>
  </si>
  <si>
    <t>REKAPITULACE</t>
  </si>
  <si>
    <t>podlaží</t>
  </si>
  <si>
    <t>1NP</t>
  </si>
  <si>
    <t>2NP</t>
  </si>
  <si>
    <t>1</t>
  </si>
  <si>
    <t>2</t>
  </si>
  <si>
    <t>3NP</t>
  </si>
  <si>
    <t>3</t>
  </si>
  <si>
    <t>Poznámka:</t>
  </si>
  <si>
    <t>KONSTRUKCE VODOROVNÝCH KONSTRUKCÍ</t>
  </si>
  <si>
    <t>A3 - VODOROVNÉ KONSTRUKCE</t>
  </si>
  <si>
    <t>Označení vodorovných konstrukcí shematicky ve výkresech SKR, viz.složka rozpočtu "výpočty".</t>
  </si>
  <si>
    <t>Bednění, podepření</t>
  </si>
  <si>
    <t>spodní</t>
  </si>
  <si>
    <t>boky</t>
  </si>
  <si>
    <t>dle CAD</t>
  </si>
  <si>
    <t>šířka</t>
  </si>
  <si>
    <t>plochy</t>
  </si>
  <si>
    <t>ostatní</t>
  </si>
  <si>
    <t>plocha dle CAD</t>
  </si>
  <si>
    <t>přípočet plochy</t>
  </si>
  <si>
    <t>podepření</t>
  </si>
  <si>
    <t>výška podepření</t>
  </si>
  <si>
    <t>otvorů, plochy</t>
  </si>
  <si>
    <t>ST1</t>
  </si>
  <si>
    <t>bednění stropních konstrukcí - desek</t>
  </si>
  <si>
    <t>tloušťka desky 5-25cm</t>
  </si>
  <si>
    <t>tloušťka desky 25-50cm</t>
  </si>
  <si>
    <t>Výměra</t>
  </si>
  <si>
    <t>MJ</t>
  </si>
  <si>
    <t>m2</t>
  </si>
  <si>
    <t>podpěrná konstrukce stropů - desek, kleneb, skořepin</t>
  </si>
  <si>
    <t>výška podepření do 4m</t>
  </si>
  <si>
    <t>tloušťka stropu 5-15cm</t>
  </si>
  <si>
    <t>tloušťka stropu 15-25cm</t>
  </si>
  <si>
    <t>tloušťka stropu 25-35cm</t>
  </si>
  <si>
    <t>tloušťka stropu 35-50cm</t>
  </si>
  <si>
    <t>výška podepření 4-6m</t>
  </si>
  <si>
    <t>m3</t>
  </si>
  <si>
    <t>C101</t>
  </si>
  <si>
    <t>C102</t>
  </si>
  <si>
    <t>C103</t>
  </si>
  <si>
    <t>C104</t>
  </si>
  <si>
    <t>C105</t>
  </si>
  <si>
    <t>C106</t>
  </si>
  <si>
    <t>C107</t>
  </si>
  <si>
    <t>C108</t>
  </si>
  <si>
    <t>C109</t>
  </si>
  <si>
    <t>C110</t>
  </si>
  <si>
    <t>C111</t>
  </si>
  <si>
    <t>C112</t>
  </si>
  <si>
    <t>C113</t>
  </si>
  <si>
    <t>C114</t>
  </si>
  <si>
    <t>C115</t>
  </si>
  <si>
    <t>C116</t>
  </si>
  <si>
    <t>C117</t>
  </si>
  <si>
    <t>st1</t>
  </si>
  <si>
    <t>přípočet odečet</t>
  </si>
  <si>
    <t>Osy</t>
  </si>
  <si>
    <t>osa 1</t>
  </si>
  <si>
    <t>osa 2</t>
  </si>
  <si>
    <t>po obvodě</t>
  </si>
  <si>
    <t>kolem otvorů</t>
  </si>
  <si>
    <t>odečet otvorů</t>
  </si>
  <si>
    <t>odečet plochy stěn</t>
  </si>
  <si>
    <t>odečet plochy</t>
  </si>
  <si>
    <t>trám</t>
  </si>
  <si>
    <t>TR1</t>
  </si>
  <si>
    <t>trám C25/30-XC1</t>
  </si>
  <si>
    <t>tr1</t>
  </si>
  <si>
    <t>B101</t>
  </si>
  <si>
    <t>B102</t>
  </si>
  <si>
    <t>B103</t>
  </si>
  <si>
    <t>B104</t>
  </si>
  <si>
    <t>B105</t>
  </si>
  <si>
    <t>B106</t>
  </si>
  <si>
    <t>strop.deska HH=+3,300 SH=+3,100</t>
  </si>
  <si>
    <t>strop.deska HH=+3,350 SH=+3,150</t>
  </si>
  <si>
    <t>strop.deska HH=+3,550 SH=+3,350</t>
  </si>
  <si>
    <t>mezipod. deska HH=+1,596 SH=+1,416</t>
  </si>
  <si>
    <t>deska římsy HH=+3,450 SH=+3,150</t>
  </si>
  <si>
    <t>deska římsy HH=+3,450 SH=+3,300</t>
  </si>
  <si>
    <t>trám - podloubí osa A+B</t>
  </si>
  <si>
    <t>trám - podloubí osa E</t>
  </si>
  <si>
    <t>rovná stropní deska C25/30-XC1</t>
  </si>
  <si>
    <t>strop.deska žebrová HH=+3,550 SH=+3,350</t>
  </si>
  <si>
    <t>bednění nosníků a průvlaků</t>
  </si>
  <si>
    <t>výška nosníku do 100cm</t>
  </si>
  <si>
    <t>výška nosníku přes 100cm</t>
  </si>
  <si>
    <t>podpěrná konstrukce nosníků a průvlaků</t>
  </si>
  <si>
    <t>B107</t>
  </si>
  <si>
    <t>B108</t>
  </si>
  <si>
    <t>B109</t>
  </si>
  <si>
    <t>B110</t>
  </si>
  <si>
    <t>B111</t>
  </si>
  <si>
    <t>B112</t>
  </si>
  <si>
    <t>trámy stropu HH=+3,550 SH=+3,350</t>
  </si>
  <si>
    <t>dtto. Žebro u výtahu</t>
  </si>
  <si>
    <t>B113</t>
  </si>
  <si>
    <t>strop.deska HH=+3,380 SH=+3,180</t>
  </si>
  <si>
    <t>mezipodest.deska HH=+0,670 SH=+0,491</t>
  </si>
  <si>
    <t>mezipodest.deska HH=+2,210 SH=+2,030</t>
  </si>
  <si>
    <t>C201</t>
  </si>
  <si>
    <t>C202</t>
  </si>
  <si>
    <t>C203</t>
  </si>
  <si>
    <t>C204</t>
  </si>
  <si>
    <t>C205</t>
  </si>
  <si>
    <t>C206</t>
  </si>
  <si>
    <t>C207</t>
  </si>
  <si>
    <t>C208</t>
  </si>
  <si>
    <t>C209</t>
  </si>
  <si>
    <t>C210</t>
  </si>
  <si>
    <t>C211</t>
  </si>
  <si>
    <t>C212</t>
  </si>
  <si>
    <t>C213</t>
  </si>
  <si>
    <t>C214</t>
  </si>
  <si>
    <t>ST3</t>
  </si>
  <si>
    <t>deska římsy C25/30-XC1</t>
  </si>
  <si>
    <t>st3</t>
  </si>
  <si>
    <t>podest, deska HH=+3,550 SH=+3,350</t>
  </si>
  <si>
    <t>deska římsy HH=+6,550 SH=+6,400</t>
  </si>
  <si>
    <t>B201</t>
  </si>
  <si>
    <t>mezipodest.deska HH=+5,150 SH=+4,970</t>
  </si>
  <si>
    <t>mezipodest.deska HH=+6,650 SH=+6,450</t>
  </si>
  <si>
    <t>B202</t>
  </si>
  <si>
    <t>B203</t>
  </si>
  <si>
    <t>B204</t>
  </si>
  <si>
    <t>B205</t>
  </si>
  <si>
    <t>B206</t>
  </si>
  <si>
    <t>B207</t>
  </si>
  <si>
    <t>B208</t>
  </si>
  <si>
    <t>B209</t>
  </si>
  <si>
    <t>B210</t>
  </si>
  <si>
    <t>B211</t>
  </si>
  <si>
    <t>B212</t>
  </si>
  <si>
    <t>strop.deska HH=+6,650 SH=+6,400</t>
  </si>
  <si>
    <t>strop.deska HH=+6,650 SH=+6,450</t>
  </si>
  <si>
    <t>C215</t>
  </si>
  <si>
    <t>C216</t>
  </si>
  <si>
    <t>C217</t>
  </si>
  <si>
    <t>C218</t>
  </si>
  <si>
    <t>C219</t>
  </si>
  <si>
    <t>B213</t>
  </si>
  <si>
    <t>B214</t>
  </si>
  <si>
    <t>B215</t>
  </si>
  <si>
    <t>B216</t>
  </si>
  <si>
    <t>B217</t>
  </si>
  <si>
    <t>B218</t>
  </si>
  <si>
    <t>B219</t>
  </si>
  <si>
    <t>B220</t>
  </si>
  <si>
    <t>podest.deska HH=+6,650 SH=+6,450</t>
  </si>
  <si>
    <t>B221</t>
  </si>
  <si>
    <t>B222</t>
  </si>
  <si>
    <t>B223</t>
  </si>
  <si>
    <t>B224</t>
  </si>
  <si>
    <t>B225</t>
  </si>
  <si>
    <t>B226</t>
  </si>
  <si>
    <t>B227</t>
  </si>
  <si>
    <t>B228</t>
  </si>
  <si>
    <t>B229</t>
  </si>
  <si>
    <t>B230</t>
  </si>
  <si>
    <t>B231</t>
  </si>
  <si>
    <t>B232</t>
  </si>
  <si>
    <t>B233</t>
  </si>
  <si>
    <t>B234</t>
  </si>
  <si>
    <t>B235</t>
  </si>
  <si>
    <t>B236</t>
  </si>
  <si>
    <t>B237</t>
  </si>
  <si>
    <t>B238</t>
  </si>
  <si>
    <t>B239</t>
  </si>
  <si>
    <t>B240</t>
  </si>
  <si>
    <t>B241</t>
  </si>
  <si>
    <t>B242</t>
  </si>
  <si>
    <t>B243</t>
  </si>
  <si>
    <t>B244</t>
  </si>
  <si>
    <t>B245</t>
  </si>
  <si>
    <t>B246</t>
  </si>
  <si>
    <t>B247</t>
  </si>
  <si>
    <t>B248</t>
  </si>
  <si>
    <t>B249</t>
  </si>
  <si>
    <t>B250</t>
  </si>
  <si>
    <t>B251</t>
  </si>
  <si>
    <t>B252</t>
  </si>
  <si>
    <t>B253</t>
  </si>
  <si>
    <t>B254</t>
  </si>
  <si>
    <t>B255</t>
  </si>
  <si>
    <t>B256</t>
  </si>
  <si>
    <t>B257</t>
  </si>
  <si>
    <t>B258</t>
  </si>
  <si>
    <t>B259</t>
  </si>
  <si>
    <t>B260</t>
  </si>
  <si>
    <t>B261</t>
  </si>
  <si>
    <t>B262</t>
  </si>
  <si>
    <t>C301</t>
  </si>
  <si>
    <t>deska výtahu HH=+11,100 SH=+10,850</t>
  </si>
  <si>
    <t>C302</t>
  </si>
  <si>
    <t>C303</t>
  </si>
  <si>
    <t>C304</t>
  </si>
  <si>
    <t>C305</t>
  </si>
  <si>
    <t>C306</t>
  </si>
  <si>
    <t>C307</t>
  </si>
  <si>
    <t>C308</t>
  </si>
  <si>
    <t>C309</t>
  </si>
  <si>
    <t>deska římsy HH=+9,650 SH=+9,500</t>
  </si>
  <si>
    <t>B301</t>
  </si>
  <si>
    <t>B302</t>
  </si>
  <si>
    <t>B303</t>
  </si>
  <si>
    <t>B304</t>
  </si>
  <si>
    <t>B305</t>
  </si>
  <si>
    <t>B306</t>
  </si>
  <si>
    <t>B307</t>
  </si>
  <si>
    <t>B308</t>
  </si>
  <si>
    <t>B309</t>
  </si>
  <si>
    <t>B310</t>
  </si>
  <si>
    <t>B311</t>
  </si>
  <si>
    <t>B312</t>
  </si>
  <si>
    <t>B313</t>
  </si>
  <si>
    <t>B314</t>
  </si>
  <si>
    <t>B315</t>
  </si>
  <si>
    <t>B316</t>
  </si>
  <si>
    <t>B317</t>
  </si>
  <si>
    <t>B318</t>
  </si>
  <si>
    <t>B319</t>
  </si>
  <si>
    <t>B320</t>
  </si>
  <si>
    <t>B321</t>
  </si>
  <si>
    <t>B322</t>
  </si>
  <si>
    <t>B323</t>
  </si>
  <si>
    <t>B324</t>
  </si>
  <si>
    <t>B325</t>
  </si>
  <si>
    <t>B326</t>
  </si>
  <si>
    <t>B327</t>
  </si>
  <si>
    <t>B328</t>
  </si>
  <si>
    <t>B329</t>
  </si>
  <si>
    <t>B330</t>
  </si>
  <si>
    <t>B331</t>
  </si>
  <si>
    <t>B332</t>
  </si>
  <si>
    <t>B333</t>
  </si>
  <si>
    <t>B334</t>
  </si>
  <si>
    <t>B335</t>
  </si>
  <si>
    <t>B336</t>
  </si>
  <si>
    <t>B337</t>
  </si>
  <si>
    <t>B338</t>
  </si>
  <si>
    <t>B339</t>
  </si>
  <si>
    <t>B340</t>
  </si>
  <si>
    <t>B341</t>
  </si>
  <si>
    <t>B342</t>
  </si>
  <si>
    <t>B343</t>
  </si>
  <si>
    <t>B344</t>
  </si>
  <si>
    <t>B345</t>
  </si>
  <si>
    <t>B346</t>
  </si>
  <si>
    <t>B347</t>
  </si>
  <si>
    <t>B348</t>
  </si>
  <si>
    <t>B349</t>
  </si>
  <si>
    <t>B350</t>
  </si>
  <si>
    <t>B351</t>
  </si>
  <si>
    <t>B352</t>
  </si>
  <si>
    <t>B353</t>
  </si>
  <si>
    <t>B354</t>
  </si>
  <si>
    <t>B355</t>
  </si>
  <si>
    <t>B356</t>
  </si>
  <si>
    <t>B357</t>
  </si>
  <si>
    <t>B358</t>
  </si>
  <si>
    <t>B359</t>
  </si>
  <si>
    <t>B360</t>
  </si>
  <si>
    <t>B361</t>
  </si>
  <si>
    <t>B362</t>
  </si>
  <si>
    <t>B363</t>
  </si>
  <si>
    <t>B364</t>
  </si>
  <si>
    <t>B365</t>
  </si>
  <si>
    <t>B366</t>
  </si>
  <si>
    <t>B367</t>
  </si>
  <si>
    <t>B368</t>
  </si>
  <si>
    <t>B369</t>
  </si>
  <si>
    <t>B370</t>
  </si>
  <si>
    <t>B371</t>
  </si>
  <si>
    <t>B372</t>
  </si>
  <si>
    <t>B373</t>
  </si>
  <si>
    <t>B374</t>
  </si>
  <si>
    <t>B375</t>
  </si>
  <si>
    <t>B376</t>
  </si>
  <si>
    <t>B377</t>
  </si>
  <si>
    <t>B378</t>
  </si>
  <si>
    <t>B379</t>
  </si>
  <si>
    <t>B380</t>
  </si>
  <si>
    <t>B381</t>
  </si>
  <si>
    <t>B382</t>
  </si>
  <si>
    <t>B383</t>
  </si>
  <si>
    <t>B384</t>
  </si>
  <si>
    <t>B385</t>
  </si>
  <si>
    <t>B386</t>
  </si>
  <si>
    <t>V1</t>
  </si>
  <si>
    <t>v1</t>
  </si>
  <si>
    <t>V201</t>
  </si>
  <si>
    <t>V202</t>
  </si>
  <si>
    <t>V203</t>
  </si>
  <si>
    <t>V204</t>
  </si>
  <si>
    <t>V205</t>
  </si>
  <si>
    <t>V206</t>
  </si>
  <si>
    <t>V207</t>
  </si>
  <si>
    <t>V208</t>
  </si>
  <si>
    <t>V209</t>
  </si>
  <si>
    <t>V210</t>
  </si>
  <si>
    <t>V211</t>
  </si>
  <si>
    <t>V212</t>
  </si>
  <si>
    <t>b1</t>
  </si>
  <si>
    <t>b2</t>
  </si>
  <si>
    <t>pod</t>
  </si>
  <si>
    <t>ST2a</t>
  </si>
  <si>
    <t>žebrová stropní deska C25/30-XC1 - pohledový beton deska</t>
  </si>
  <si>
    <t>žebrová stropní deska C25/30-XC1 - pohledový beton žebra</t>
  </si>
  <si>
    <t>ST2b</t>
  </si>
  <si>
    <t>st2a</t>
  </si>
  <si>
    <t>st2b</t>
  </si>
  <si>
    <t>příplatek za pohledový beton (žebrový strop ST2)</t>
  </si>
  <si>
    <t>B1</t>
  </si>
  <si>
    <t>B2</t>
  </si>
  <si>
    <t>P1</t>
  </si>
  <si>
    <t>PR1</t>
  </si>
  <si>
    <t>B3</t>
  </si>
  <si>
    <t>P2</t>
  </si>
  <si>
    <t>P3</t>
  </si>
  <si>
    <t>P4</t>
  </si>
  <si>
    <t>P5</t>
  </si>
  <si>
    <t>P6</t>
  </si>
  <si>
    <t>P7</t>
  </si>
  <si>
    <t>P8</t>
  </si>
  <si>
    <t>B4</t>
  </si>
  <si>
    <t>PR2</t>
  </si>
  <si>
    <t>P9</t>
  </si>
  <si>
    <t>P10</t>
  </si>
  <si>
    <t>P11</t>
  </si>
  <si>
    <t>P12</t>
  </si>
  <si>
    <t>B5</t>
  </si>
  <si>
    <t>bednění říms vč.podpěrné kce</t>
  </si>
  <si>
    <t>B6</t>
  </si>
  <si>
    <t>R1</t>
  </si>
  <si>
    <t>překlad C25/30-XC1</t>
  </si>
  <si>
    <t>bednění překladů vč.podpěrné kce</t>
  </si>
  <si>
    <t>r1</t>
  </si>
  <si>
    <t>překlad</t>
  </si>
  <si>
    <t>S1</t>
  </si>
  <si>
    <t>výška stropní vložky do 160mm</t>
  </si>
  <si>
    <t>A3 - VODOROVNÉ KONSTRUKCE - SKLÁDANÉ STROPY</t>
  </si>
  <si>
    <t>s1</t>
  </si>
  <si>
    <t>vložky</t>
  </si>
  <si>
    <t>výpočet nebo CAD</t>
  </si>
  <si>
    <t>tloušťka</t>
  </si>
  <si>
    <t>stropní kce</t>
  </si>
  <si>
    <t>osová</t>
  </si>
  <si>
    <t>vzdálenost</t>
  </si>
  <si>
    <t>nosníků</t>
  </si>
  <si>
    <t>nosníky</t>
  </si>
  <si>
    <t>zdvojené</t>
  </si>
  <si>
    <t>a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</si>
  <si>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</si>
  <si>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</si>
  <si>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</si>
  <si>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</si>
  <si>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</si>
  <si>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</si>
  <si>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</si>
  <si>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</si>
  <si>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</si>
  <si>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</si>
  <si>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</si>
  <si>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</si>
  <si>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DB1</t>
  </si>
  <si>
    <t>S213</t>
  </si>
  <si>
    <t>db1</t>
  </si>
  <si>
    <t>B7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</si>
  <si>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</si>
  <si>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</si>
  <si>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</si>
  <si>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</si>
  <si>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</si>
  <si>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</si>
  <si>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</si>
  <si>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</si>
  <si>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</si>
  <si>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</si>
  <si>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</si>
  <si>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</si>
  <si>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</si>
  <si>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</si>
  <si>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</si>
  <si>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</si>
  <si>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S317</t>
  </si>
  <si>
    <t>S333</t>
  </si>
  <si>
    <t>S334</t>
  </si>
  <si>
    <t>S230</t>
  </si>
  <si>
    <t>S231</t>
  </si>
  <si>
    <t>S232</t>
  </si>
  <si>
    <t>S233</t>
  </si>
  <si>
    <t>S330</t>
  </si>
  <si>
    <t>S234</t>
  </si>
  <si>
    <t>S301</t>
  </si>
  <si>
    <t>S302</t>
  </si>
  <si>
    <t>S303</t>
  </si>
  <si>
    <t>S304</t>
  </si>
  <si>
    <t>S305</t>
  </si>
  <si>
    <t>S306</t>
  </si>
  <si>
    <t>S307</t>
  </si>
  <si>
    <t>S308</t>
  </si>
  <si>
    <t>S309</t>
  </si>
  <si>
    <t>S310</t>
  </si>
  <si>
    <t>S311</t>
  </si>
  <si>
    <t>S312</t>
  </si>
  <si>
    <t>S313</t>
  </si>
  <si>
    <t>S314</t>
  </si>
  <si>
    <t>S315</t>
  </si>
  <si>
    <t>S316</t>
  </si>
  <si>
    <t>S318</t>
  </si>
  <si>
    <t>S319</t>
  </si>
  <si>
    <t>S320</t>
  </si>
  <si>
    <t>S321</t>
  </si>
  <si>
    <t>S322</t>
  </si>
  <si>
    <t>S323</t>
  </si>
  <si>
    <t>S324</t>
  </si>
  <si>
    <t>S325</t>
  </si>
  <si>
    <t>S326</t>
  </si>
  <si>
    <t>S327</t>
  </si>
  <si>
    <t>S328</t>
  </si>
  <si>
    <t>S329</t>
  </si>
  <si>
    <t>S331</t>
  </si>
  <si>
    <t>S332</t>
  </si>
  <si>
    <t>S335</t>
  </si>
  <si>
    <t>S336</t>
  </si>
  <si>
    <t>S337</t>
  </si>
  <si>
    <t>tloušťka stropní konstrukce do 200mm</t>
  </si>
  <si>
    <t>osová vzdálenost do 600mm</t>
  </si>
  <si>
    <t>délky nosníků do 1,8m</t>
  </si>
  <si>
    <t>délky nosníků do 3,6m</t>
  </si>
  <si>
    <t>délky nosníků do 4,8m</t>
  </si>
  <si>
    <t>délky nosníků do 6,6m</t>
  </si>
  <si>
    <t>osová vzdálenost přes 600mm do 800mm</t>
  </si>
  <si>
    <t>S2</t>
  </si>
  <si>
    <t>S3</t>
  </si>
  <si>
    <t>S4</t>
  </si>
  <si>
    <t>S5</t>
  </si>
  <si>
    <t>S6</t>
  </si>
  <si>
    <t>S7</t>
  </si>
  <si>
    <t>S8</t>
  </si>
  <si>
    <r>
      <t xml:space="preserve">stropy skládané betonové C25/30 ze </t>
    </r>
    <r>
      <rPr>
        <b/>
        <sz val="10"/>
        <color theme="1"/>
        <rFont val="Calibri"/>
        <family val="2"/>
        <charset val="238"/>
        <scheme val="minor"/>
      </rPr>
      <t>jednoduchých</t>
    </r>
    <r>
      <rPr>
        <sz val="10"/>
        <color theme="1"/>
        <rFont val="Calibri"/>
        <family val="2"/>
        <charset val="238"/>
        <scheme val="minor"/>
      </rPr>
      <t xml:space="preserve"> ŽB stropních nosníků</t>
    </r>
  </si>
  <si>
    <r>
      <t xml:space="preserve">stropy skládané betonové C25/30 ze </t>
    </r>
    <r>
      <rPr>
        <b/>
        <sz val="10"/>
        <color theme="1"/>
        <rFont val="Calibri"/>
        <family val="2"/>
        <charset val="238"/>
        <scheme val="minor"/>
      </rPr>
      <t>zdvojených</t>
    </r>
    <r>
      <rPr>
        <sz val="10"/>
        <color theme="1"/>
        <rFont val="Calibri"/>
        <family val="2"/>
        <charset val="238"/>
        <scheme val="minor"/>
      </rPr>
      <t xml:space="preserve"> ŽB stropních nosníků</t>
    </r>
  </si>
  <si>
    <t>osová vzdálenost do 500mm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</si>
  <si>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</si>
  <si>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</si>
  <si>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</si>
  <si>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</si>
  <si>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</si>
  <si>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</si>
  <si>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</si>
  <si>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</si>
  <si>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</si>
  <si>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</si>
  <si>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délky nosníků přes 6,6m</t>
  </si>
  <si>
    <t>osová vzdálenost přes 500 do 700mm</t>
  </si>
  <si>
    <t>dobetonávka skládaného stropu</t>
  </si>
  <si>
    <t>věnec klem skládaného stropu C25/30-XC1</t>
  </si>
  <si>
    <t>dobetonávka skládaného stropu C25/30-XC1</t>
  </si>
  <si>
    <t>bednění věnců skládaného stropu</t>
  </si>
  <si>
    <t>V213</t>
  </si>
  <si>
    <t>V214</t>
  </si>
  <si>
    <t>V215</t>
  </si>
  <si>
    <t>věnec skládaného stropu - po obvodu</t>
  </si>
  <si>
    <t>V216</t>
  </si>
  <si>
    <t>V217</t>
  </si>
  <si>
    <t>V218</t>
  </si>
  <si>
    <t>V219</t>
  </si>
  <si>
    <t>V220</t>
  </si>
  <si>
    <t>V221</t>
  </si>
  <si>
    <t>V222</t>
  </si>
  <si>
    <t>V223</t>
  </si>
  <si>
    <t>V224</t>
  </si>
  <si>
    <t>V225</t>
  </si>
  <si>
    <t>V226</t>
  </si>
  <si>
    <t>V227</t>
  </si>
  <si>
    <t>V228</t>
  </si>
  <si>
    <t>V229</t>
  </si>
  <si>
    <t>V230</t>
  </si>
  <si>
    <t>věnec skládaného stropu - vnitřní</t>
  </si>
  <si>
    <t>V301</t>
  </si>
  <si>
    <t>V302</t>
  </si>
  <si>
    <t>V303</t>
  </si>
  <si>
    <t>V304</t>
  </si>
  <si>
    <t>V305</t>
  </si>
  <si>
    <t>V306</t>
  </si>
  <si>
    <t>V307</t>
  </si>
  <si>
    <t>V308</t>
  </si>
  <si>
    <t>V309</t>
  </si>
  <si>
    <t>V310</t>
  </si>
  <si>
    <t>V311</t>
  </si>
  <si>
    <t>V312</t>
  </si>
  <si>
    <t>V313</t>
  </si>
  <si>
    <t>V314</t>
  </si>
  <si>
    <t>V315</t>
  </si>
  <si>
    <t>V316</t>
  </si>
  <si>
    <t>V317</t>
  </si>
  <si>
    <t>V318</t>
  </si>
  <si>
    <t>V319</t>
  </si>
  <si>
    <t>V320</t>
  </si>
  <si>
    <t>V321</t>
  </si>
  <si>
    <t>V322</t>
  </si>
  <si>
    <t>V323</t>
  </si>
  <si>
    <t>V324</t>
  </si>
  <si>
    <t>V325</t>
  </si>
  <si>
    <t>V326</t>
  </si>
  <si>
    <t>V327</t>
  </si>
  <si>
    <t>V328</t>
  </si>
  <si>
    <t>V329</t>
  </si>
  <si>
    <t>V330</t>
  </si>
  <si>
    <t>V331</t>
  </si>
  <si>
    <t>V332</t>
  </si>
  <si>
    <t>V333</t>
  </si>
  <si>
    <t>V334</t>
  </si>
  <si>
    <t>V335</t>
  </si>
  <si>
    <t>V336</t>
  </si>
  <si>
    <t>V337</t>
  </si>
  <si>
    <t>V338</t>
  </si>
  <si>
    <t>V339</t>
  </si>
  <si>
    <t>V340</t>
  </si>
  <si>
    <t>V341</t>
  </si>
  <si>
    <t>V342</t>
  </si>
  <si>
    <t>V343</t>
  </si>
  <si>
    <t>V344</t>
  </si>
  <si>
    <t>V345</t>
  </si>
  <si>
    <t>V346</t>
  </si>
  <si>
    <t>V347</t>
  </si>
  <si>
    <t>V348</t>
  </si>
  <si>
    <t>V349</t>
  </si>
  <si>
    <t>V350</t>
  </si>
  <si>
    <t>V351</t>
  </si>
  <si>
    <t>V352</t>
  </si>
  <si>
    <t>V353</t>
  </si>
  <si>
    <t>V354</t>
  </si>
  <si>
    <t>V355</t>
  </si>
  <si>
    <t>V356</t>
  </si>
  <si>
    <t>V357</t>
  </si>
  <si>
    <t>V358</t>
  </si>
  <si>
    <t>V359</t>
  </si>
  <si>
    <t>výška stropní vložky přes 120 do 160mm</t>
  </si>
  <si>
    <t>výška stropní vložky přes 160 do 210mm</t>
  </si>
  <si>
    <t>tloušťka stropní konstrukce do 250mm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</si>
  <si>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</si>
  <si>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</si>
  <si>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</si>
  <si>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</si>
  <si>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</si>
  <si>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</si>
  <si>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</si>
  <si>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</si>
  <si>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</si>
  <si>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</si>
  <si>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délky nosníků do 7,6m</t>
  </si>
  <si>
    <t>S100</t>
  </si>
  <si>
    <t>skládané stropy - celkový objem</t>
  </si>
  <si>
    <t>dobetonávka prefa stropu</t>
  </si>
  <si>
    <t>db2</t>
  </si>
  <si>
    <t>DB2</t>
  </si>
  <si>
    <t>dobetonávka prefa stropu C25/30-XC1</t>
  </si>
  <si>
    <t>vybetonávka dutiny prefa panelu</t>
  </si>
  <si>
    <t>db3</t>
  </si>
  <si>
    <t>DB3</t>
  </si>
  <si>
    <t>vybetonávka dutiny prefa panelu C30/37-XC1</t>
  </si>
  <si>
    <t>A3 - VODOROVNÉ KONSTRUKCE - PREFA STROPY</t>
  </si>
  <si>
    <t>počet</t>
  </si>
  <si>
    <t>kus</t>
  </si>
  <si>
    <t>pp1</t>
  </si>
  <si>
    <t>P101</t>
  </si>
  <si>
    <t>P201</t>
  </si>
  <si>
    <t>hmotnost celkem</t>
  </si>
  <si>
    <t>hmotnost jedn.</t>
  </si>
  <si>
    <t>t/m2</t>
  </si>
  <si>
    <t>t/kus</t>
  </si>
  <si>
    <t>E-D</t>
  </si>
  <si>
    <t>5-6</t>
  </si>
  <si>
    <t>P202</t>
  </si>
  <si>
    <t>P203</t>
  </si>
  <si>
    <t>P204</t>
  </si>
  <si>
    <t>P205</t>
  </si>
  <si>
    <t>2-3</t>
  </si>
  <si>
    <t>D-G</t>
  </si>
  <si>
    <t>4-5</t>
  </si>
  <si>
    <t>P206</t>
  </si>
  <si>
    <t>P207</t>
  </si>
  <si>
    <t>P208</t>
  </si>
  <si>
    <t>P209</t>
  </si>
  <si>
    <t>P210</t>
  </si>
  <si>
    <t>P211</t>
  </si>
  <si>
    <t>pružné uložení</t>
  </si>
  <si>
    <t>prefa panely tl.320mm předpjaté</t>
  </si>
  <si>
    <t>hmotnost do 1,5t</t>
  </si>
  <si>
    <t>hmotnost do 3t</t>
  </si>
  <si>
    <t>hmotnost do 5t</t>
  </si>
  <si>
    <t>hmotnost do 7t</t>
  </si>
  <si>
    <t>hmotnost do 9t</t>
  </si>
  <si>
    <t>šířka panelu 0,68m</t>
  </si>
  <si>
    <t>šířka panelu 0,82m</t>
  </si>
  <si>
    <t>šířka panelu 1,02m</t>
  </si>
  <si>
    <t>šířka panelu 1,2m</t>
  </si>
  <si>
    <t>šířka panelu 1,25m</t>
  </si>
  <si>
    <t>šířka panelu 2,12m</t>
  </si>
  <si>
    <t>délka uložení panelu na pružnou podložku tl.25mm</t>
  </si>
  <si>
    <t>PP101</t>
  </si>
  <si>
    <t>PP102</t>
  </si>
  <si>
    <t>PP103</t>
  </si>
  <si>
    <t>PP104</t>
  </si>
  <si>
    <t>PP105</t>
  </si>
  <si>
    <t>PP106</t>
  </si>
  <si>
    <t>PP107</t>
  </si>
  <si>
    <t>PP108</t>
  </si>
  <si>
    <t>PP109</t>
  </si>
  <si>
    <t>PP110</t>
  </si>
  <si>
    <t>PP111</t>
  </si>
  <si>
    <t>PP112</t>
  </si>
  <si>
    <t>hmotnost na délku</t>
  </si>
  <si>
    <t>t/m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</si>
</sst>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49" fontId="0" fillId="0" borderId="0" xfId="0" applyNumberFormat="1"/>
    <xf numFmtId="4" fontId="0" fillId="0" borderId="0" xfId="0" applyNumberFormat="1"/>
    <xf numFmtId="0" fontId="0" fillId="2" borderId="3" xfId="0" applyFill="1" applyBorder="1" applyAlignment="1">
      <alignment horizontal="center" vertical="center"/>
    </xf>
    <xf numFmtId="49" fontId="4" fillId="3" borderId="1" xfId="0" applyNumberFormat="1" applyFont="1" applyFill="1" applyBorder="1"/>
    <xf numFmtId="49" fontId="5" fillId="3" borderId="1" xfId="0" applyNumberFormat="1" applyFont="1" applyFill="1" applyBorder="1"/>
    <xf numFmtId="4" fontId="5" fillId="3" borderId="1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0" borderId="0" xfId="0" applyFont="1"/>
    <xf numFmtId="3" fontId="5" fillId="3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49" fontId="5" fillId="0" borderId="7" xfId="0" applyNumberFormat="1" applyFont="1" applyBorder="1"/>
    <xf numFmtId="49" fontId="5" fillId="0" borderId="8" xfId="0" applyNumberFormat="1" applyFont="1" applyBorder="1"/>
    <xf numFmtId="49" fontId="8" fillId="0" borderId="1" xfId="0" applyNumberFormat="1" applyFont="1" applyBorder="1"/>
    <xf numFmtId="49" fontId="7" fillId="0" borderId="10" xfId="0" applyNumberFormat="1" applyFont="1" applyBorder="1" applyAlignment="1">
      <alignment horizontal="right" vertical="center"/>
    </xf>
    <xf numFmtId="49" fontId="7" fillId="0" borderId="11" xfId="0" quotePrefix="1" applyNumberFormat="1" applyFont="1" applyBorder="1" applyAlignment="1">
      <alignment horizontal="left" vertical="center"/>
    </xf>
    <xf numFmtId="49" fontId="7" fillId="0" borderId="1" xfId="0" applyNumberFormat="1" applyFont="1" applyBorder="1"/>
    <xf numFmtId="49" fontId="6" fillId="0" borderId="1" xfId="0" applyNumberFormat="1" applyFont="1" applyBorder="1"/>
    <xf numFmtId="4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7" fillId="0" borderId="12" xfId="0" applyNumberFormat="1" applyFont="1" applyBorder="1" applyAlignment="1">
      <alignment horizontal="left" vertical="center"/>
    </xf>
    <xf numFmtId="49" fontId="5" fillId="0" borderId="10" xfId="0" applyNumberFormat="1" applyFont="1" applyBorder="1"/>
    <xf numFmtId="49" fontId="5" fillId="0" borderId="9" xfId="0" applyNumberFormat="1" applyFont="1" applyBorder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4" fontId="7" fillId="0" borderId="10" xfId="0" applyNumberFormat="1" applyFont="1" applyBorder="1" applyAlignment="1">
      <alignment horizontal="center" vertical="top"/>
    </xf>
    <xf numFmtId="4" fontId="7" fillId="0" borderId="1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vertical="center"/>
    </xf>
    <xf numFmtId="4" fontId="7" fillId="4" borderId="1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top"/>
    </xf>
    <xf numFmtId="4" fontId="8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11" xfId="0" applyFont="1" applyFill="1" applyBorder="1" applyAlignment="1">
      <alignment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0" fillId="0" borderId="12" xfId="0" applyFont="1" applyFill="1" applyBorder="1" applyAlignment="1">
      <alignment vertical="top"/>
    </xf>
    <xf numFmtId="0" fontId="0" fillId="2" borderId="25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0" fillId="2" borderId="31" xfId="0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textRotation="90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19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top"/>
    </xf>
    <xf numFmtId="4" fontId="9" fillId="0" borderId="11" xfId="0" applyNumberFormat="1" applyFont="1" applyBorder="1" applyAlignment="1">
      <alignment horizontal="center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4" fontId="7" fillId="0" borderId="10" xfId="0" applyNumberFormat="1" applyFont="1" applyBorder="1" applyAlignment="1">
      <alignment horizontal="center" vertical="top"/>
    </xf>
    <xf numFmtId="4" fontId="7" fillId="0" borderId="11" xfId="0" applyNumberFormat="1" applyFont="1" applyBorder="1" applyAlignment="1">
      <alignment horizontal="center" vertical="top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A9CCD-EF45-48E7-800D-310AB71F9421}">
  <sheetPr codeName="List7">
    <tabColor rgb="FF0070C0"/>
    <pageSetUpPr fitToPage="1"/>
  </sheetPr>
  <dimension ref="A1:AF326"/>
  <sheetViews>
    <sheetView zoomScale="115" zoomScaleNormal="115" workbookViewId="0">
      <pane ySplit="9" topLeftCell="A10" activePane="bottomLeft" state="frozen"/>
      <selection pane="bottomLeft" activeCell="G5" sqref="G5:I6"/>
    </sheetView>
  </sheetViews>
  <sheetFormatPr defaultRowHeight="15" x14ac:dyDescent="0.25"/>
  <cols>
    <col min="1" max="1" width="2.85546875" customWidth="1"/>
    <col min="2" max="3" width="4.7109375" customWidth="1"/>
    <col min="4" max="5" width="5" customWidth="1"/>
    <col min="6" max="6" width="26.5703125" customWidth="1"/>
    <col min="7" max="24" width="6.28515625" customWidth="1"/>
    <col min="25" max="29" width="6.85546875" customWidth="1"/>
    <col min="30" max="30" width="0.7109375" customWidth="1"/>
  </cols>
  <sheetData>
    <row r="1" spans="1:30" ht="18.75" x14ac:dyDescent="0.3">
      <c r="A1" s="1" t="s">
        <v>30</v>
      </c>
      <c r="B1" s="1"/>
      <c r="C1" s="1"/>
      <c r="D1" s="1"/>
      <c r="E1" s="1"/>
      <c r="F1" s="1"/>
    </row>
    <row r="2" spans="1:30" ht="15.75" thickBot="1" x14ac:dyDescent="0.3"/>
    <row r="3" spans="1:30" ht="15" customHeight="1" x14ac:dyDescent="0.25">
      <c r="A3" s="82" t="s">
        <v>8</v>
      </c>
      <c r="B3" s="78"/>
      <c r="C3" s="78"/>
      <c r="D3" s="78"/>
      <c r="E3" s="78" t="s">
        <v>19</v>
      </c>
      <c r="F3" s="78"/>
      <c r="G3" s="72" t="s">
        <v>1</v>
      </c>
      <c r="H3" s="73"/>
      <c r="I3" s="73"/>
      <c r="J3" s="73"/>
      <c r="K3" s="73"/>
      <c r="L3" s="73"/>
      <c r="M3" s="74"/>
      <c r="N3" s="56" t="s">
        <v>32</v>
      </c>
      <c r="O3" s="56"/>
      <c r="P3" s="56"/>
      <c r="Q3" s="56"/>
      <c r="R3" s="56"/>
      <c r="S3" s="56"/>
      <c r="T3" s="56"/>
      <c r="U3" s="56"/>
      <c r="V3" s="56"/>
      <c r="W3" s="56"/>
      <c r="X3" s="57"/>
      <c r="Y3" s="55" t="s">
        <v>15</v>
      </c>
      <c r="Z3" s="56"/>
      <c r="AA3" s="56"/>
      <c r="AB3" s="56"/>
      <c r="AC3" s="57"/>
      <c r="AD3" s="4"/>
    </row>
    <row r="4" spans="1:30" x14ac:dyDescent="0.25">
      <c r="A4" s="89" t="s">
        <v>21</v>
      </c>
      <c r="B4" s="87" t="s">
        <v>78</v>
      </c>
      <c r="C4" s="88"/>
      <c r="D4" s="79" t="s">
        <v>7</v>
      </c>
      <c r="E4" s="83" t="s">
        <v>14</v>
      </c>
      <c r="F4" s="85" t="s">
        <v>0</v>
      </c>
      <c r="G4" s="75" t="s">
        <v>9</v>
      </c>
      <c r="H4" s="76"/>
      <c r="I4" s="76"/>
      <c r="J4" s="76"/>
      <c r="K4" s="76"/>
      <c r="L4" s="76"/>
      <c r="M4" s="77"/>
      <c r="N4" s="59"/>
      <c r="O4" s="59"/>
      <c r="P4" s="59"/>
      <c r="Q4" s="59"/>
      <c r="R4" s="59"/>
      <c r="S4" s="59"/>
      <c r="T4" s="59"/>
      <c r="U4" s="59"/>
      <c r="V4" s="59"/>
      <c r="W4" s="59"/>
      <c r="X4" s="60"/>
      <c r="Y4" s="58"/>
      <c r="Z4" s="59"/>
      <c r="AA4" s="59"/>
      <c r="AB4" s="59"/>
      <c r="AC4" s="60"/>
      <c r="AD4" s="8"/>
    </row>
    <row r="5" spans="1:30" ht="15" customHeight="1" x14ac:dyDescent="0.25">
      <c r="A5" s="90"/>
      <c r="B5" s="79" t="s">
        <v>79</v>
      </c>
      <c r="C5" s="79" t="s">
        <v>80</v>
      </c>
      <c r="D5" s="80"/>
      <c r="E5" s="83"/>
      <c r="F5" s="85"/>
      <c r="G5" s="14" t="s">
        <v>2</v>
      </c>
      <c r="H5" s="14" t="s">
        <v>36</v>
      </c>
      <c r="I5" s="14" t="s">
        <v>4</v>
      </c>
      <c r="J5" s="14" t="s">
        <v>10</v>
      </c>
      <c r="K5" s="14" t="s">
        <v>16</v>
      </c>
      <c r="L5" s="14" t="s">
        <v>17</v>
      </c>
      <c r="M5" s="14" t="s">
        <v>38</v>
      </c>
      <c r="N5" s="69" t="s">
        <v>33</v>
      </c>
      <c r="O5" s="70"/>
      <c r="P5" s="70"/>
      <c r="Q5" s="70"/>
      <c r="R5" s="70"/>
      <c r="S5" s="70"/>
      <c r="T5" s="71"/>
      <c r="U5" s="69" t="s">
        <v>34</v>
      </c>
      <c r="V5" s="70"/>
      <c r="W5" s="70"/>
      <c r="X5" s="71"/>
      <c r="Y5" s="66" t="s">
        <v>10</v>
      </c>
      <c r="Z5" s="66" t="s">
        <v>11</v>
      </c>
      <c r="AA5" s="63" t="s">
        <v>32</v>
      </c>
      <c r="AB5" s="64"/>
      <c r="AC5" s="65"/>
      <c r="AD5" s="8"/>
    </row>
    <row r="6" spans="1:30" ht="30" customHeight="1" x14ac:dyDescent="0.25">
      <c r="A6" s="90"/>
      <c r="B6" s="80"/>
      <c r="C6" s="80"/>
      <c r="D6" s="80"/>
      <c r="E6" s="83"/>
      <c r="F6" s="85"/>
      <c r="G6" s="14"/>
      <c r="H6" s="14"/>
      <c r="I6" s="14"/>
      <c r="J6" s="35" t="s">
        <v>35</v>
      </c>
      <c r="K6" s="16" t="s">
        <v>43</v>
      </c>
      <c r="L6" s="14" t="s">
        <v>37</v>
      </c>
      <c r="M6" s="35" t="s">
        <v>77</v>
      </c>
      <c r="N6" s="61" t="s">
        <v>2</v>
      </c>
      <c r="O6" s="61" t="s">
        <v>36</v>
      </c>
      <c r="P6" s="61" t="s">
        <v>39</v>
      </c>
      <c r="Q6" s="61" t="s">
        <v>83</v>
      </c>
      <c r="R6" s="61" t="s">
        <v>84</v>
      </c>
      <c r="S6" s="61" t="s">
        <v>40</v>
      </c>
      <c r="T6" s="61" t="s">
        <v>42</v>
      </c>
      <c r="U6" s="61" t="s">
        <v>81</v>
      </c>
      <c r="V6" s="61" t="s">
        <v>82</v>
      </c>
      <c r="W6" s="61" t="s">
        <v>85</v>
      </c>
      <c r="X6" s="61" t="s">
        <v>40</v>
      </c>
      <c r="Y6" s="67"/>
      <c r="Z6" s="67"/>
      <c r="AA6" s="61" t="s">
        <v>33</v>
      </c>
      <c r="AB6" s="61" t="s">
        <v>34</v>
      </c>
      <c r="AC6" s="61" t="s">
        <v>41</v>
      </c>
      <c r="AD6" s="8"/>
    </row>
    <row r="7" spans="1:30" x14ac:dyDescent="0.25">
      <c r="A7" s="90"/>
      <c r="B7" s="80"/>
      <c r="C7" s="80"/>
      <c r="D7" s="80"/>
      <c r="E7" s="83"/>
      <c r="F7" s="85"/>
      <c r="G7" s="14"/>
      <c r="H7" s="14"/>
      <c r="I7" s="14"/>
      <c r="J7" s="14"/>
      <c r="K7" s="14"/>
      <c r="L7" s="14"/>
      <c r="M7" s="14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7"/>
      <c r="Z7" s="67"/>
      <c r="AA7" s="62"/>
      <c r="AB7" s="62"/>
      <c r="AC7" s="62"/>
      <c r="AD7" s="8"/>
    </row>
    <row r="8" spans="1:30" x14ac:dyDescent="0.25">
      <c r="A8" s="91"/>
      <c r="B8" s="81"/>
      <c r="C8" s="81"/>
      <c r="D8" s="81"/>
      <c r="E8" s="84"/>
      <c r="F8" s="86"/>
      <c r="G8" s="14" t="s">
        <v>5</v>
      </c>
      <c r="H8" s="14" t="s">
        <v>5</v>
      </c>
      <c r="I8" s="14" t="s">
        <v>5</v>
      </c>
      <c r="J8" s="14" t="s">
        <v>12</v>
      </c>
      <c r="K8" s="14" t="s">
        <v>12</v>
      </c>
      <c r="L8" s="14" t="s">
        <v>12</v>
      </c>
      <c r="M8" s="14" t="s">
        <v>13</v>
      </c>
      <c r="N8" s="14" t="s">
        <v>5</v>
      </c>
      <c r="O8" s="14" t="s">
        <v>5</v>
      </c>
      <c r="P8" s="14" t="s">
        <v>12</v>
      </c>
      <c r="Q8" s="14" t="s">
        <v>12</v>
      </c>
      <c r="R8" s="14" t="s">
        <v>12</v>
      </c>
      <c r="S8" s="14" t="s">
        <v>12</v>
      </c>
      <c r="T8" s="14" t="s">
        <v>5</v>
      </c>
      <c r="U8" s="14" t="s">
        <v>12</v>
      </c>
      <c r="V8" s="14" t="s">
        <v>12</v>
      </c>
      <c r="W8" s="14" t="s">
        <v>12</v>
      </c>
      <c r="X8" s="14" t="s">
        <v>12</v>
      </c>
      <c r="Y8" s="14" t="s">
        <v>12</v>
      </c>
      <c r="Z8" s="14" t="s">
        <v>13</v>
      </c>
      <c r="AA8" s="14" t="s">
        <v>12</v>
      </c>
      <c r="AB8" s="14" t="s">
        <v>12</v>
      </c>
      <c r="AC8" s="14" t="s">
        <v>12</v>
      </c>
      <c r="AD8" s="8"/>
    </row>
    <row r="9" spans="1:30" ht="3.75" customHeight="1" thickBot="1" x14ac:dyDescent="0.3">
      <c r="A9" s="9"/>
      <c r="B9" s="12"/>
      <c r="C9" s="12"/>
      <c r="D9" s="12"/>
      <c r="E9" s="68"/>
      <c r="F9" s="68"/>
      <c r="G9" s="13"/>
      <c r="H9" s="13"/>
      <c r="I9" s="13"/>
      <c r="J9" s="13"/>
      <c r="K9" s="13"/>
      <c r="L9" s="13"/>
      <c r="M9" s="13"/>
      <c r="N9" s="13"/>
      <c r="O9" s="36"/>
      <c r="P9" s="36"/>
      <c r="Q9" s="36"/>
      <c r="R9" s="37"/>
      <c r="S9" s="13"/>
      <c r="T9" s="36"/>
      <c r="U9" s="13"/>
      <c r="V9" s="36"/>
      <c r="W9" s="36"/>
      <c r="X9" s="13"/>
      <c r="Y9" s="13"/>
      <c r="Z9" s="13"/>
      <c r="AA9" s="13"/>
      <c r="AB9" s="13"/>
      <c r="AC9" s="13"/>
      <c r="AD9" s="10"/>
    </row>
    <row r="10" spans="1:30" x14ac:dyDescent="0.25">
      <c r="A10" s="22" t="s">
        <v>22</v>
      </c>
      <c r="B10" s="34"/>
      <c r="C10" s="23"/>
      <c r="D10" s="24"/>
      <c r="E10" s="29"/>
      <c r="F10" s="28"/>
      <c r="G10" s="45"/>
      <c r="H10" s="45"/>
      <c r="I10" s="4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45"/>
      <c r="U10" s="45"/>
      <c r="V10" s="45"/>
      <c r="W10" s="15"/>
      <c r="X10" s="15"/>
      <c r="Y10" s="46" t="str">
        <f>IF(((G10*H10)+J10-K10+L10)=0,"",((G10*H10)+J10-K10+L10))</f>
        <v/>
      </c>
      <c r="Z10" s="46" t="str">
        <f>IF(PRODUCT(Y10,I10)+M10=0,"",Y10*I10+M10)</f>
        <v/>
      </c>
      <c r="AA10" s="46" t="str">
        <f>IF((N10*O10+P10-Q10-R10+S10)=0,"",(N10*O10+P10-Q10-R10+S10))</f>
        <v/>
      </c>
      <c r="AB10" s="46" t="str">
        <f>IF((U10+V10-W10+X10)=0,"",(U10+V10-W10+X10))</f>
        <v/>
      </c>
      <c r="AC10" s="46" t="str">
        <f t="shared" ref="AC10:AC13" si="0">IF((N10*O10+P10-Q10-R10+S10)=0,"",(N10*O10+P10-Q10-R10+S10))</f>
        <v/>
      </c>
      <c r="AD10" s="15"/>
    </row>
    <row r="11" spans="1:30" x14ac:dyDescent="0.25">
      <c r="A11" s="25" t="s">
        <v>24</v>
      </c>
      <c r="B11" s="32"/>
      <c r="C11" s="26"/>
      <c r="D11" s="27" t="s">
        <v>59</v>
      </c>
      <c r="E11" s="29" t="s">
        <v>76</v>
      </c>
      <c r="F11" s="28" t="s">
        <v>96</v>
      </c>
      <c r="G11" s="45">
        <f>0.25+11.25+0.2</f>
        <v>11.7</v>
      </c>
      <c r="H11" s="45">
        <f>0.2+6.65+0.25</f>
        <v>7.1000000000000005</v>
      </c>
      <c r="I11" s="45">
        <v>0.2</v>
      </c>
      <c r="J11" s="15"/>
      <c r="K11" s="15">
        <f>0.96*5.33</f>
        <v>5.1167999999999996</v>
      </c>
      <c r="L11" s="15"/>
      <c r="M11" s="45">
        <f>11.25*0.25*0.05+(11.25+6.65+0.2*2)*0.2*0.05</f>
        <v>0.323625</v>
      </c>
      <c r="N11" s="15">
        <f>11.25+0.2</f>
        <v>11.45</v>
      </c>
      <c r="O11" s="15">
        <f>6.65+0.25+0.2</f>
        <v>7.1000000000000005</v>
      </c>
      <c r="P11" s="15"/>
      <c r="Q11" s="15">
        <f>K11</f>
        <v>5.1167999999999996</v>
      </c>
      <c r="R11" s="15">
        <f>0.7*0.25+(0.25+0.7+2.725+3.775)*0.2</f>
        <v>1.665</v>
      </c>
      <c r="S11" s="15"/>
      <c r="T11" s="45">
        <f>3.1+0.2</f>
        <v>3.3000000000000003</v>
      </c>
      <c r="U11" s="45">
        <f>7.1*0.15+(11.25*2+0.2*2+6.65+0.25+0.2)*0.25</f>
        <v>8.5649999999999995</v>
      </c>
      <c r="V11" s="45">
        <f>(0.96*2+5.33*2)*0.2</f>
        <v>2.516</v>
      </c>
      <c r="W11" s="15"/>
      <c r="X11" s="15"/>
      <c r="Y11" s="46">
        <f t="shared" ref="Y11:Y41" si="1">IF(((G11*H11)+J11-K11+L11)=0,"",((G11*H11)+J11-K11+L11))</f>
        <v>77.95320000000001</v>
      </c>
      <c r="Z11" s="46">
        <f t="shared" ref="Z11:Z41" si="2">IF(PRODUCT(Y11,I11)+M11=0,"",Y11*I11+M11)</f>
        <v>15.914265000000002</v>
      </c>
      <c r="AA11" s="46">
        <f t="shared" ref="AA11:AA41" si="3">IF((N11*O11+P11-Q11-R11+S11)=0,"",(N11*O11+P11-Q11-R11+S11))</f>
        <v>74.513199999999998</v>
      </c>
      <c r="AB11" s="46">
        <f t="shared" ref="AB11:AB41" si="4">IF((U11+V11-W11+X11)=0,"",(U11+V11-W11+X11))</f>
        <v>11.081</v>
      </c>
      <c r="AC11" s="46">
        <f t="shared" si="0"/>
        <v>74.513199999999998</v>
      </c>
      <c r="AD11" s="15"/>
    </row>
    <row r="12" spans="1:30" x14ac:dyDescent="0.25">
      <c r="A12" s="25" t="s">
        <v>24</v>
      </c>
      <c r="B12" s="32"/>
      <c r="C12" s="26"/>
      <c r="D12" s="27" t="s">
        <v>60</v>
      </c>
      <c r="E12" s="29" t="s">
        <v>76</v>
      </c>
      <c r="F12" s="28" t="s">
        <v>97</v>
      </c>
      <c r="G12" s="45">
        <f>0.25+3.765+3.385+4.1+0.2</f>
        <v>11.7</v>
      </c>
      <c r="H12" s="45">
        <f>0.25+4.15+0.25</f>
        <v>4.6500000000000004</v>
      </c>
      <c r="I12" s="45">
        <v>0.2</v>
      </c>
      <c r="J12" s="15"/>
      <c r="K12" s="15"/>
      <c r="L12" s="15"/>
      <c r="M12" s="15"/>
      <c r="N12" s="15">
        <f>3.765+3.385+4.1</f>
        <v>11.25</v>
      </c>
      <c r="O12" s="15">
        <v>4.1500000000000004</v>
      </c>
      <c r="P12" s="15"/>
      <c r="Q12" s="15"/>
      <c r="R12" s="15"/>
      <c r="S12" s="15"/>
      <c r="T12" s="45">
        <f>3.15+0.2</f>
        <v>3.35</v>
      </c>
      <c r="U12" s="45">
        <f>(G12*2+H12*2)*I12</f>
        <v>6.5400000000000009</v>
      </c>
      <c r="V12" s="45"/>
      <c r="W12" s="15"/>
      <c r="X12" s="15"/>
      <c r="Y12" s="46">
        <f t="shared" si="1"/>
        <v>54.405000000000001</v>
      </c>
      <c r="Z12" s="46">
        <f t="shared" si="2"/>
        <v>10.881</v>
      </c>
      <c r="AA12" s="46">
        <f t="shared" si="3"/>
        <v>46.687500000000007</v>
      </c>
      <c r="AB12" s="46">
        <f t="shared" si="4"/>
        <v>6.5400000000000009</v>
      </c>
      <c r="AC12" s="46">
        <f t="shared" si="0"/>
        <v>46.687500000000007</v>
      </c>
      <c r="AD12" s="15"/>
    </row>
    <row r="13" spans="1:30" x14ac:dyDescent="0.25">
      <c r="A13" s="25" t="s">
        <v>24</v>
      </c>
      <c r="B13" s="32"/>
      <c r="C13" s="26"/>
      <c r="D13" s="27" t="s">
        <v>61</v>
      </c>
      <c r="E13" s="29" t="s">
        <v>76</v>
      </c>
      <c r="F13" s="28" t="s">
        <v>99</v>
      </c>
      <c r="G13" s="45">
        <f>3.32</f>
        <v>3.32</v>
      </c>
      <c r="H13" s="45">
        <f>1.48+0.15</f>
        <v>1.63</v>
      </c>
      <c r="I13" s="45">
        <f>1.596-1.416</f>
        <v>0.18000000000000016</v>
      </c>
      <c r="J13" s="15"/>
      <c r="K13" s="15"/>
      <c r="L13" s="15"/>
      <c r="M13" s="15"/>
      <c r="N13" s="15">
        <v>3.32</v>
      </c>
      <c r="O13" s="15">
        <v>1.63</v>
      </c>
      <c r="P13" s="15"/>
      <c r="Q13" s="15"/>
      <c r="R13" s="15"/>
      <c r="S13" s="15"/>
      <c r="T13" s="45">
        <f>1.416+0.2</f>
        <v>1.6159999999999999</v>
      </c>
      <c r="U13" s="45">
        <f>3.32*0.18</f>
        <v>0.59759999999999991</v>
      </c>
      <c r="V13" s="45"/>
      <c r="W13" s="15"/>
      <c r="X13" s="15"/>
      <c r="Y13" s="46">
        <f t="shared" si="1"/>
        <v>5.4115999999999991</v>
      </c>
      <c r="Z13" s="46">
        <f t="shared" si="2"/>
        <v>0.97408800000000073</v>
      </c>
      <c r="AA13" s="46">
        <f t="shared" si="3"/>
        <v>5.4115999999999991</v>
      </c>
      <c r="AB13" s="46">
        <f t="shared" si="4"/>
        <v>0.59759999999999991</v>
      </c>
      <c r="AC13" s="46">
        <f t="shared" si="0"/>
        <v>5.4115999999999991</v>
      </c>
      <c r="AD13" s="15"/>
    </row>
    <row r="14" spans="1:30" x14ac:dyDescent="0.25">
      <c r="A14" s="25" t="s">
        <v>24</v>
      </c>
      <c r="B14" s="32"/>
      <c r="C14" s="26"/>
      <c r="D14" s="27" t="s">
        <v>62</v>
      </c>
      <c r="E14" s="29" t="s">
        <v>76</v>
      </c>
      <c r="F14" s="28" t="s">
        <v>98</v>
      </c>
      <c r="G14" s="45"/>
      <c r="H14" s="45"/>
      <c r="I14" s="45">
        <v>0.2</v>
      </c>
      <c r="J14" s="15">
        <v>564.16999999999996</v>
      </c>
      <c r="K14" s="15">
        <f>1.55*0.35+0.9*0.55</f>
        <v>1.0375000000000001</v>
      </c>
      <c r="L14" s="15"/>
      <c r="M14" s="15"/>
      <c r="N14" s="15"/>
      <c r="O14" s="15"/>
      <c r="P14" s="15">
        <v>535.02</v>
      </c>
      <c r="Q14" s="15">
        <f>1.55*0.35+0.9*0.55</f>
        <v>1.0375000000000001</v>
      </c>
      <c r="R14" s="15">
        <f>(6.5+3.71+(1.225-0.25)+1.77+3.675+8.2+1.23*2+4.755+4.5+4.575+2.57+1.03+5.06)*0.2+(8+0.85*2)*0.25</f>
        <v>12.381000000000004</v>
      </c>
      <c r="S14" s="15"/>
      <c r="T14" s="45">
        <f>3.35+0.2</f>
        <v>3.5500000000000003</v>
      </c>
      <c r="U14" s="45">
        <f>(24.7-6.5)*0.05+49.35*0.1+(4.65+23.93)*0.2</f>
        <v>11.561</v>
      </c>
      <c r="V14" s="15">
        <f>(1.55*2+0.35*2+0.9*2+0.55*2)*0.2</f>
        <v>1.3399999999999999</v>
      </c>
      <c r="W14" s="15"/>
      <c r="X14" s="15"/>
      <c r="Y14" s="46">
        <f t="shared" si="1"/>
        <v>563.13249999999994</v>
      </c>
      <c r="Z14" s="46">
        <f t="shared" si="2"/>
        <v>112.62649999999999</v>
      </c>
      <c r="AA14" s="46">
        <f t="shared" si="3"/>
        <v>521.60149999999999</v>
      </c>
      <c r="AB14" s="46">
        <f t="shared" si="4"/>
        <v>12.901</v>
      </c>
      <c r="AC14" s="46">
        <f>IF((N14*O14+P14-Q14-R14+S14)=0,"",(N14*O14+P14-Q14-R14+S14))</f>
        <v>521.60149999999999</v>
      </c>
      <c r="AD14" s="15"/>
    </row>
    <row r="15" spans="1:30" x14ac:dyDescent="0.25">
      <c r="A15" s="25" t="s">
        <v>24</v>
      </c>
      <c r="B15" s="32"/>
      <c r="C15" s="26"/>
      <c r="D15" s="27" t="s">
        <v>63</v>
      </c>
      <c r="E15" s="29" t="s">
        <v>138</v>
      </c>
      <c r="F15" s="28" t="s">
        <v>100</v>
      </c>
      <c r="G15" s="45">
        <f>0.355*2+0.25*2+2.15</f>
        <v>3.36</v>
      </c>
      <c r="H15" s="45">
        <v>0.4</v>
      </c>
      <c r="I15" s="45">
        <v>0.3</v>
      </c>
      <c r="J15" s="15"/>
      <c r="K15" s="15"/>
      <c r="L15" s="15"/>
      <c r="M15" s="15"/>
      <c r="N15" s="15">
        <v>3.36</v>
      </c>
      <c r="O15" s="15">
        <v>0.4</v>
      </c>
      <c r="P15" s="15"/>
      <c r="Q15" s="15"/>
      <c r="R15" s="15"/>
      <c r="S15" s="15"/>
      <c r="T15" s="45">
        <f>3.15+0.2</f>
        <v>3.35</v>
      </c>
      <c r="U15" s="45">
        <f>3.36+0.3+0.4*2*0.15</f>
        <v>3.78</v>
      </c>
      <c r="V15" s="45"/>
      <c r="W15" s="15"/>
      <c r="X15" s="15"/>
      <c r="Y15" s="46">
        <f t="shared" si="1"/>
        <v>1.3440000000000001</v>
      </c>
      <c r="Z15" s="46">
        <f t="shared" si="2"/>
        <v>0.4032</v>
      </c>
      <c r="AA15" s="46">
        <f t="shared" si="3"/>
        <v>1.3440000000000001</v>
      </c>
      <c r="AB15" s="46">
        <f t="shared" si="4"/>
        <v>3.78</v>
      </c>
      <c r="AC15" s="46">
        <f t="shared" ref="AC15:AC49" si="5">IF((N15*O15+P15-Q15-R15+S15)=0,"",(N15*O15+P15-Q15-R15+S15))</f>
        <v>1.3440000000000001</v>
      </c>
      <c r="AD15" s="15"/>
    </row>
    <row r="16" spans="1:30" x14ac:dyDescent="0.25">
      <c r="A16" s="25" t="s">
        <v>24</v>
      </c>
      <c r="B16" s="32"/>
      <c r="C16" s="26"/>
      <c r="D16" s="27" t="s">
        <v>64</v>
      </c>
      <c r="E16" s="29" t="s">
        <v>138</v>
      </c>
      <c r="F16" s="28" t="s">
        <v>101</v>
      </c>
      <c r="G16" s="45">
        <f>40.25-3.36</f>
        <v>36.89</v>
      </c>
      <c r="H16" s="45">
        <v>0.4</v>
      </c>
      <c r="I16" s="45">
        <v>0.15</v>
      </c>
      <c r="J16" s="15"/>
      <c r="K16" s="15"/>
      <c r="L16" s="15"/>
      <c r="M16" s="15"/>
      <c r="N16" s="15">
        <f>G16</f>
        <v>36.89</v>
      </c>
      <c r="O16" s="15">
        <v>0.4</v>
      </c>
      <c r="P16" s="15"/>
      <c r="Q16" s="15"/>
      <c r="R16" s="15"/>
      <c r="S16" s="15"/>
      <c r="T16" s="45">
        <f>3.15+0.2</f>
        <v>3.35</v>
      </c>
      <c r="U16" s="45">
        <f>(G16+0.4*2)*0.15</f>
        <v>5.6534999999999993</v>
      </c>
      <c r="V16" s="45"/>
      <c r="W16" s="15"/>
      <c r="X16" s="15"/>
      <c r="Y16" s="46">
        <f t="shared" si="1"/>
        <v>14.756</v>
      </c>
      <c r="Z16" s="46">
        <f t="shared" si="2"/>
        <v>2.2134</v>
      </c>
      <c r="AA16" s="46">
        <f t="shared" si="3"/>
        <v>14.756</v>
      </c>
      <c r="AB16" s="46">
        <f t="shared" si="4"/>
        <v>5.6534999999999993</v>
      </c>
      <c r="AC16" s="46">
        <f t="shared" si="5"/>
        <v>14.756</v>
      </c>
      <c r="AD16" s="15"/>
    </row>
    <row r="17" spans="1:32" x14ac:dyDescent="0.25">
      <c r="A17" s="25" t="s">
        <v>24</v>
      </c>
      <c r="B17" s="32"/>
      <c r="C17" s="26"/>
      <c r="D17" s="27" t="s">
        <v>65</v>
      </c>
      <c r="E17" s="29" t="s">
        <v>138</v>
      </c>
      <c r="F17" s="28" t="s">
        <v>101</v>
      </c>
      <c r="G17" s="45">
        <f>20.14-0.4</f>
        <v>19.740000000000002</v>
      </c>
      <c r="H17" s="45">
        <v>0.4</v>
      </c>
      <c r="I17" s="45">
        <v>0.15</v>
      </c>
      <c r="J17" s="15"/>
      <c r="K17" s="15"/>
      <c r="L17" s="15"/>
      <c r="M17" s="15"/>
      <c r="N17" s="15">
        <f>G17</f>
        <v>19.740000000000002</v>
      </c>
      <c r="O17" s="15">
        <v>0.4</v>
      </c>
      <c r="P17" s="15"/>
      <c r="Q17" s="15"/>
      <c r="R17" s="15"/>
      <c r="S17" s="15"/>
      <c r="T17" s="45">
        <f>3.15+0.2</f>
        <v>3.35</v>
      </c>
      <c r="U17" s="45">
        <f>(G17+0.4)*0.15</f>
        <v>3.0209999999999999</v>
      </c>
      <c r="V17" s="45"/>
      <c r="W17" s="15"/>
      <c r="X17" s="15"/>
      <c r="Y17" s="46">
        <f t="shared" si="1"/>
        <v>7.8960000000000008</v>
      </c>
      <c r="Z17" s="46">
        <f t="shared" si="2"/>
        <v>1.1844000000000001</v>
      </c>
      <c r="AA17" s="46">
        <f t="shared" si="3"/>
        <v>7.8960000000000008</v>
      </c>
      <c r="AB17" s="46">
        <f t="shared" si="4"/>
        <v>3.0209999999999999</v>
      </c>
      <c r="AC17" s="46">
        <f t="shared" si="5"/>
        <v>7.8960000000000008</v>
      </c>
      <c r="AD17" s="15"/>
    </row>
    <row r="18" spans="1:32" x14ac:dyDescent="0.25">
      <c r="A18" s="25" t="s">
        <v>24</v>
      </c>
      <c r="B18" s="32"/>
      <c r="C18" s="26"/>
      <c r="D18" s="27" t="s">
        <v>66</v>
      </c>
      <c r="E18" s="29" t="s">
        <v>138</v>
      </c>
      <c r="F18" s="28" t="s">
        <v>101</v>
      </c>
      <c r="G18" s="45">
        <v>20.25</v>
      </c>
      <c r="H18" s="45">
        <v>0.4</v>
      </c>
      <c r="I18" s="45">
        <v>0.15</v>
      </c>
      <c r="J18" s="15"/>
      <c r="K18" s="15"/>
      <c r="L18" s="15"/>
      <c r="M18" s="15"/>
      <c r="N18" s="15">
        <f t="shared" ref="N18:N19" si="6">G18</f>
        <v>20.25</v>
      </c>
      <c r="O18" s="15">
        <v>0.4</v>
      </c>
      <c r="P18" s="15"/>
      <c r="Q18" s="15"/>
      <c r="R18" s="15"/>
      <c r="S18" s="15"/>
      <c r="T18" s="45">
        <f t="shared" ref="T18:T19" si="7">3.15+0.2</f>
        <v>3.35</v>
      </c>
      <c r="U18" s="45">
        <f>(G18+0.4*2)*0.15</f>
        <v>3.1575000000000002</v>
      </c>
      <c r="V18" s="45"/>
      <c r="W18" s="15"/>
      <c r="X18" s="15"/>
      <c r="Y18" s="46">
        <f t="shared" si="1"/>
        <v>8.1</v>
      </c>
      <c r="Z18" s="46">
        <f t="shared" si="2"/>
        <v>1.2149999999999999</v>
      </c>
      <c r="AA18" s="46">
        <f t="shared" si="3"/>
        <v>8.1</v>
      </c>
      <c r="AB18" s="46">
        <f t="shared" si="4"/>
        <v>3.1575000000000002</v>
      </c>
      <c r="AC18" s="46">
        <f t="shared" si="5"/>
        <v>8.1</v>
      </c>
      <c r="AD18" s="15"/>
    </row>
    <row r="19" spans="1:32" x14ac:dyDescent="0.25">
      <c r="A19" s="25" t="s">
        <v>24</v>
      </c>
      <c r="B19" s="32"/>
      <c r="C19" s="26"/>
      <c r="D19" s="27" t="s">
        <v>67</v>
      </c>
      <c r="E19" s="29" t="s">
        <v>138</v>
      </c>
      <c r="F19" s="28" t="s">
        <v>101</v>
      </c>
      <c r="G19" s="45">
        <f>14.55-0.4</f>
        <v>14.15</v>
      </c>
      <c r="H19" s="45">
        <v>0.4</v>
      </c>
      <c r="I19" s="45">
        <v>0.15</v>
      </c>
      <c r="J19" s="15"/>
      <c r="K19" s="15"/>
      <c r="L19" s="15"/>
      <c r="M19" s="15"/>
      <c r="N19" s="15">
        <f t="shared" si="6"/>
        <v>14.15</v>
      </c>
      <c r="O19" s="15">
        <v>0.4</v>
      </c>
      <c r="P19" s="15"/>
      <c r="Q19" s="15"/>
      <c r="R19" s="15"/>
      <c r="S19" s="15"/>
      <c r="T19" s="45">
        <f t="shared" si="7"/>
        <v>3.35</v>
      </c>
      <c r="U19" s="45">
        <f t="shared" ref="U19" si="8">(G19+0.4)*0.15</f>
        <v>2.1825000000000001</v>
      </c>
      <c r="V19" s="45"/>
      <c r="W19" s="15"/>
      <c r="X19" s="15"/>
      <c r="Y19" s="46">
        <f t="shared" si="1"/>
        <v>5.66</v>
      </c>
      <c r="Z19" s="46">
        <f t="shared" si="2"/>
        <v>0.84899999999999998</v>
      </c>
      <c r="AA19" s="46">
        <f t="shared" si="3"/>
        <v>5.66</v>
      </c>
      <c r="AB19" s="46">
        <f t="shared" si="4"/>
        <v>2.1825000000000001</v>
      </c>
      <c r="AC19" s="46">
        <f t="shared" si="5"/>
        <v>5.66</v>
      </c>
      <c r="AD19" s="15"/>
      <c r="AF19" s="3"/>
    </row>
    <row r="20" spans="1:32" x14ac:dyDescent="0.25">
      <c r="A20" s="25" t="s">
        <v>24</v>
      </c>
      <c r="B20" s="32"/>
      <c r="C20" s="26"/>
      <c r="D20" s="27" t="s">
        <v>68</v>
      </c>
      <c r="E20" s="29" t="s">
        <v>76</v>
      </c>
      <c r="F20" s="28" t="s">
        <v>139</v>
      </c>
      <c r="G20" s="45">
        <f>3.32+0.2*2</f>
        <v>3.7199999999999998</v>
      </c>
      <c r="H20" s="45">
        <v>1.53</v>
      </c>
      <c r="I20" s="45">
        <v>0.2</v>
      </c>
      <c r="J20" s="15"/>
      <c r="K20" s="15"/>
      <c r="L20" s="15"/>
      <c r="M20" s="15"/>
      <c r="N20" s="15">
        <v>3.32</v>
      </c>
      <c r="O20" s="15">
        <v>1.53</v>
      </c>
      <c r="P20" s="15"/>
      <c r="Q20" s="15"/>
      <c r="R20" s="15"/>
      <c r="S20" s="15"/>
      <c r="T20" s="45">
        <f>3.35+0.2</f>
        <v>3.5500000000000003</v>
      </c>
      <c r="U20" s="45">
        <f>(3.72+1.53*2)*0.2</f>
        <v>1.3560000000000001</v>
      </c>
      <c r="V20" s="45"/>
      <c r="W20" s="15"/>
      <c r="X20" s="15"/>
      <c r="Y20" s="46">
        <f t="shared" si="1"/>
        <v>5.6915999999999993</v>
      </c>
      <c r="Z20" s="46">
        <f t="shared" si="2"/>
        <v>1.13832</v>
      </c>
      <c r="AA20" s="46">
        <f t="shared" si="3"/>
        <v>5.0796000000000001</v>
      </c>
      <c r="AB20" s="46">
        <f t="shared" si="4"/>
        <v>1.3560000000000001</v>
      </c>
      <c r="AC20" s="46">
        <f t="shared" si="5"/>
        <v>5.0796000000000001</v>
      </c>
      <c r="AD20" s="15"/>
      <c r="AF20" s="3"/>
    </row>
    <row r="21" spans="1:32" x14ac:dyDescent="0.25">
      <c r="A21" s="25" t="s">
        <v>24</v>
      </c>
      <c r="B21" s="32"/>
      <c r="C21" s="26"/>
      <c r="D21" s="27" t="s">
        <v>69</v>
      </c>
      <c r="E21" s="29" t="s">
        <v>331</v>
      </c>
      <c r="F21" s="28" t="s">
        <v>105</v>
      </c>
      <c r="G21" s="45"/>
      <c r="H21" s="45"/>
      <c r="I21" s="45">
        <v>0.15</v>
      </c>
      <c r="J21" s="15">
        <v>79.81</v>
      </c>
      <c r="K21" s="15"/>
      <c r="L21" s="15"/>
      <c r="M21" s="15"/>
      <c r="N21" s="15"/>
      <c r="O21" s="15"/>
      <c r="P21" s="15">
        <f>8.95*0.465+8.95*0.46*9+2.95*0.46*6</f>
        <v>49.356749999999998</v>
      </c>
      <c r="Q21" s="15"/>
      <c r="R21" s="15"/>
      <c r="S21" s="15"/>
      <c r="T21" s="45">
        <f>3.4+0.2</f>
        <v>3.6</v>
      </c>
      <c r="U21" s="45">
        <f>9.75*0.25</f>
        <v>2.4375</v>
      </c>
      <c r="V21" s="45"/>
      <c r="W21" s="15"/>
      <c r="X21" s="15"/>
      <c r="Y21" s="46">
        <f t="shared" si="1"/>
        <v>79.81</v>
      </c>
      <c r="Z21" s="46">
        <f t="shared" si="2"/>
        <v>11.971500000000001</v>
      </c>
      <c r="AA21" s="46">
        <f t="shared" si="3"/>
        <v>49.356749999999998</v>
      </c>
      <c r="AB21" s="46">
        <f t="shared" si="4"/>
        <v>2.4375</v>
      </c>
      <c r="AC21" s="46">
        <f t="shared" si="5"/>
        <v>49.356749999999998</v>
      </c>
      <c r="AD21" s="15"/>
      <c r="AF21" s="3"/>
    </row>
    <row r="22" spans="1:32" x14ac:dyDescent="0.25">
      <c r="A22" s="25" t="s">
        <v>24</v>
      </c>
      <c r="B22" s="32"/>
      <c r="C22" s="26"/>
      <c r="D22" s="27" t="s">
        <v>70</v>
      </c>
      <c r="E22" s="29" t="s">
        <v>76</v>
      </c>
      <c r="F22" s="28" t="s">
        <v>96</v>
      </c>
      <c r="G22" s="45"/>
      <c r="H22" s="45"/>
      <c r="I22" s="45">
        <v>0.2</v>
      </c>
      <c r="J22" s="15">
        <v>78.42</v>
      </c>
      <c r="K22" s="15">
        <f>PI()*0.85^2+PI()*0.6^2</f>
        <v>3.4007740475109509</v>
      </c>
      <c r="L22" s="15"/>
      <c r="M22" s="15"/>
      <c r="N22" s="15"/>
      <c r="O22" s="15"/>
      <c r="P22" s="15">
        <v>71.38</v>
      </c>
      <c r="Q22" s="15">
        <f>K22</f>
        <v>3.4007740475109509</v>
      </c>
      <c r="R22" s="15"/>
      <c r="S22" s="15"/>
      <c r="T22" s="45">
        <f>3.1+0.2</f>
        <v>3.3000000000000003</v>
      </c>
      <c r="U22" s="45">
        <f>(39.88-9.75-0.265-4.15-0.25+5.85)*0.2+5.85*0.15</f>
        <v>7.1405000000000012</v>
      </c>
      <c r="V22" s="45">
        <f>(PI()*2+PI()*1.2)*0.2</f>
        <v>2.0106192982974678</v>
      </c>
      <c r="W22" s="15"/>
      <c r="X22" s="15"/>
      <c r="Y22" s="46">
        <f t="shared" si="1"/>
        <v>75.019225952489052</v>
      </c>
      <c r="Z22" s="46">
        <f t="shared" si="2"/>
        <v>15.003845190497811</v>
      </c>
      <c r="AA22" s="46">
        <f t="shared" si="3"/>
        <v>67.979225952489045</v>
      </c>
      <c r="AB22" s="46">
        <f t="shared" si="4"/>
        <v>9.1511192982974698</v>
      </c>
      <c r="AC22" s="46">
        <f t="shared" si="5"/>
        <v>67.979225952489045</v>
      </c>
      <c r="AD22" s="15"/>
      <c r="AF22" s="3"/>
    </row>
    <row r="23" spans="1:32" x14ac:dyDescent="0.25">
      <c r="A23" s="25" t="s">
        <v>24</v>
      </c>
      <c r="B23" s="32"/>
      <c r="C23" s="26"/>
      <c r="D23" s="27" t="s">
        <v>71</v>
      </c>
      <c r="E23" s="29" t="s">
        <v>76</v>
      </c>
      <c r="F23" s="28" t="s">
        <v>119</v>
      </c>
      <c r="G23" s="45">
        <f>0.2+6.85+0.2+2.55+0.2</f>
        <v>10</v>
      </c>
      <c r="H23" s="45">
        <v>2.35</v>
      </c>
      <c r="I23" s="45">
        <v>0.2</v>
      </c>
      <c r="J23" s="15"/>
      <c r="K23" s="15"/>
      <c r="L23" s="15"/>
      <c r="M23" s="15"/>
      <c r="N23" s="15">
        <f>6.85+2.55</f>
        <v>9.3999999999999986</v>
      </c>
      <c r="O23" s="15">
        <v>2.35</v>
      </c>
      <c r="P23" s="15"/>
      <c r="Q23" s="15"/>
      <c r="R23" s="15"/>
      <c r="S23" s="15"/>
      <c r="T23" s="45">
        <f>3.18+0.2</f>
        <v>3.3800000000000003</v>
      </c>
      <c r="U23" s="45">
        <f>(G23+H23*2)*I23</f>
        <v>2.94</v>
      </c>
      <c r="V23" s="45"/>
      <c r="W23" s="15"/>
      <c r="X23" s="15"/>
      <c r="Y23" s="46">
        <f t="shared" si="1"/>
        <v>23.5</v>
      </c>
      <c r="Z23" s="46">
        <f t="shared" si="2"/>
        <v>4.7</v>
      </c>
      <c r="AA23" s="46">
        <f t="shared" si="3"/>
        <v>22.089999999999996</v>
      </c>
      <c r="AB23" s="46">
        <f t="shared" si="4"/>
        <v>2.94</v>
      </c>
      <c r="AC23" s="46">
        <f t="shared" si="5"/>
        <v>22.089999999999996</v>
      </c>
      <c r="AD23" s="15"/>
      <c r="AF23" s="3"/>
    </row>
    <row r="24" spans="1:32" x14ac:dyDescent="0.25">
      <c r="A24" s="25" t="s">
        <v>24</v>
      </c>
      <c r="B24" s="32"/>
      <c r="C24" s="26"/>
      <c r="D24" s="27" t="s">
        <v>72</v>
      </c>
      <c r="E24" s="29" t="s">
        <v>76</v>
      </c>
      <c r="F24" s="28" t="s">
        <v>96</v>
      </c>
      <c r="G24" s="45">
        <f>0.2+1.75+3.4+2.065+0.2+1.485+0.2+2.2+0.2</f>
        <v>11.7</v>
      </c>
      <c r="H24" s="45">
        <f>0.2+3.35+0.25</f>
        <v>3.8000000000000003</v>
      </c>
      <c r="I24" s="45">
        <v>0.2</v>
      </c>
      <c r="J24" s="15"/>
      <c r="K24" s="15"/>
      <c r="L24" s="15"/>
      <c r="M24" s="15"/>
      <c r="N24" s="45">
        <f>1.75+3.4+2.065+0.2+1.485+0.2+2.2</f>
        <v>11.3</v>
      </c>
      <c r="O24" s="45">
        <v>3.35</v>
      </c>
      <c r="P24" s="15"/>
      <c r="Q24" s="15"/>
      <c r="R24" s="15"/>
      <c r="S24" s="15"/>
      <c r="T24" s="45">
        <f>3.1+0.2</f>
        <v>3.3000000000000003</v>
      </c>
      <c r="U24" s="45">
        <f>(G24*2+H24*2)*0.2</f>
        <v>6.2</v>
      </c>
      <c r="V24" s="45"/>
      <c r="W24" s="15"/>
      <c r="X24" s="15"/>
      <c r="Y24" s="46">
        <f t="shared" si="1"/>
        <v>44.46</v>
      </c>
      <c r="Z24" s="46">
        <f t="shared" si="2"/>
        <v>8.8920000000000012</v>
      </c>
      <c r="AA24" s="46">
        <f t="shared" si="3"/>
        <v>37.855000000000004</v>
      </c>
      <c r="AB24" s="46">
        <f t="shared" si="4"/>
        <v>6.2</v>
      </c>
      <c r="AC24" s="46">
        <f t="shared" si="5"/>
        <v>37.855000000000004</v>
      </c>
      <c r="AD24" s="15"/>
      <c r="AF24" s="3"/>
    </row>
    <row r="25" spans="1:32" x14ac:dyDescent="0.25">
      <c r="A25" s="25" t="s">
        <v>24</v>
      </c>
      <c r="B25" s="32"/>
      <c r="C25" s="26"/>
      <c r="D25" s="27" t="s">
        <v>73</v>
      </c>
      <c r="E25" s="29" t="s">
        <v>76</v>
      </c>
      <c r="F25" s="28" t="s">
        <v>98</v>
      </c>
      <c r="G25" s="45"/>
      <c r="H25" s="45"/>
      <c r="I25" s="45">
        <v>0.2</v>
      </c>
      <c r="J25" s="15">
        <v>328.64</v>
      </c>
      <c r="K25" s="15">
        <f>3.67*2.4+1.5*0.5</f>
        <v>9.5579999999999998</v>
      </c>
      <c r="L25" s="15"/>
      <c r="M25" s="15"/>
      <c r="N25" s="15"/>
      <c r="O25" s="15"/>
      <c r="P25" s="15">
        <v>301.72000000000003</v>
      </c>
      <c r="Q25" s="15">
        <f>2.8*3.87+1.5*0.5</f>
        <v>11.586</v>
      </c>
      <c r="R25" s="15">
        <f>(1.8+3.1+0.95+0.55+0.3+1.85*2+0.2*2)*0.2</f>
        <v>2.16</v>
      </c>
      <c r="S25" s="15"/>
      <c r="T25" s="45">
        <f>3.35+0.2</f>
        <v>3.5500000000000003</v>
      </c>
      <c r="U25" s="45">
        <f>33.4*0.1+11.15*0.05+(3.6+11.3+3+0.25)*0.2+(0.25+6.75+0.2)*0.05+4.92*0.2+3.27*0.05+(9.6+2.35)*0.17+2.25*0.2</f>
        <v>11.516500000000001</v>
      </c>
      <c r="V25" s="15">
        <f>(3.67*2+2.4*2)*0.2+(1.5*2+0.5*2)*0.2</f>
        <v>3.2280000000000006</v>
      </c>
      <c r="W25" s="15"/>
      <c r="X25" s="15"/>
      <c r="Y25" s="46">
        <f t="shared" si="1"/>
        <v>319.08199999999999</v>
      </c>
      <c r="Z25" s="46">
        <f t="shared" si="2"/>
        <v>63.816400000000002</v>
      </c>
      <c r="AA25" s="46">
        <f t="shared" si="3"/>
        <v>287.97399999999999</v>
      </c>
      <c r="AB25" s="46">
        <f t="shared" si="4"/>
        <v>14.744500000000002</v>
      </c>
      <c r="AC25" s="46">
        <f t="shared" si="5"/>
        <v>287.97399999999999</v>
      </c>
      <c r="AD25" s="15"/>
      <c r="AF25" s="3"/>
    </row>
    <row r="26" spans="1:32" x14ac:dyDescent="0.25">
      <c r="A26" s="25" t="s">
        <v>24</v>
      </c>
      <c r="B26" s="32"/>
      <c r="C26" s="26"/>
      <c r="D26" s="27" t="s">
        <v>74</v>
      </c>
      <c r="E26" s="29" t="s">
        <v>76</v>
      </c>
      <c r="F26" s="28" t="s">
        <v>120</v>
      </c>
      <c r="G26" s="45">
        <v>2.4</v>
      </c>
      <c r="H26" s="45">
        <v>0.93</v>
      </c>
      <c r="I26" s="45">
        <v>0.18</v>
      </c>
      <c r="J26" s="15"/>
      <c r="K26" s="15"/>
      <c r="L26" s="15"/>
      <c r="M26" s="15"/>
      <c r="N26" s="15">
        <v>2.4</v>
      </c>
      <c r="O26" s="15">
        <v>0.93</v>
      </c>
      <c r="P26" s="15"/>
      <c r="Q26" s="15"/>
      <c r="R26" s="15"/>
      <c r="S26" s="15"/>
      <c r="T26" s="45"/>
      <c r="U26" s="45">
        <f>2.4*2*0.18</f>
        <v>0.86399999999999999</v>
      </c>
      <c r="V26" s="45"/>
      <c r="W26" s="15"/>
      <c r="X26" s="15"/>
      <c r="Y26" s="46">
        <f t="shared" si="1"/>
        <v>2.2320000000000002</v>
      </c>
      <c r="Z26" s="46">
        <f t="shared" si="2"/>
        <v>0.40176000000000001</v>
      </c>
      <c r="AA26" s="46">
        <f t="shared" si="3"/>
        <v>2.2320000000000002</v>
      </c>
      <c r="AB26" s="46">
        <f t="shared" si="4"/>
        <v>0.86399999999999999</v>
      </c>
      <c r="AC26" s="46">
        <f t="shared" si="5"/>
        <v>2.2320000000000002</v>
      </c>
      <c r="AD26" s="15"/>
      <c r="AF26" s="3"/>
    </row>
    <row r="27" spans="1:32" x14ac:dyDescent="0.25">
      <c r="A27" s="25" t="s">
        <v>24</v>
      </c>
      <c r="B27" s="32"/>
      <c r="C27" s="26"/>
      <c r="D27" s="27" t="s">
        <v>75</v>
      </c>
      <c r="E27" s="29" t="s">
        <v>76</v>
      </c>
      <c r="F27" s="28" t="s">
        <v>121</v>
      </c>
      <c r="G27" s="45">
        <v>2.4</v>
      </c>
      <c r="H27" s="45">
        <v>0.93</v>
      </c>
      <c r="I27" s="45">
        <v>0.18</v>
      </c>
      <c r="J27" s="15"/>
      <c r="K27" s="15"/>
      <c r="L27" s="15"/>
      <c r="M27" s="15"/>
      <c r="N27" s="15">
        <v>2.4</v>
      </c>
      <c r="O27" s="15">
        <v>0.93</v>
      </c>
      <c r="P27" s="15"/>
      <c r="Q27" s="15"/>
      <c r="R27" s="15"/>
      <c r="S27" s="15"/>
      <c r="T27" s="45"/>
      <c r="U27" s="45">
        <f>2.4*0.18</f>
        <v>0.432</v>
      </c>
      <c r="V27" s="45"/>
      <c r="W27" s="15"/>
      <c r="X27" s="15"/>
      <c r="Y27" s="46">
        <f t="shared" ref="Y27" si="9">IF(((G27*H27)+J27-K27+L27)=0,"",((G27*H27)+J27-K27+L27))</f>
        <v>2.2320000000000002</v>
      </c>
      <c r="Z27" s="46">
        <f t="shared" ref="Z27" si="10">IF(PRODUCT(Y27,I27)+M27=0,"",Y27*I27+M27)</f>
        <v>0.40176000000000001</v>
      </c>
      <c r="AA27" s="46">
        <f t="shared" ref="AA27" si="11">IF((N27*O27+P27-Q27-R27+S27)=0,"",(N27*O27+P27-Q27-R27+S27))</f>
        <v>2.2320000000000002</v>
      </c>
      <c r="AB27" s="46">
        <f t="shared" ref="AB27" si="12">IF((U27+V27-W27+X27)=0,"",(U27+V27-W27+X27))</f>
        <v>0.432</v>
      </c>
      <c r="AC27" s="46">
        <f t="shared" ref="AC27" si="13">IF((N27*O27+P27-Q27-R27+S27)=0,"",(N27*O27+P27-Q27-R27+S27))</f>
        <v>2.2320000000000002</v>
      </c>
      <c r="AD27" s="15"/>
      <c r="AF27" s="3"/>
    </row>
    <row r="28" spans="1:32" x14ac:dyDescent="0.25">
      <c r="A28" s="25" t="s">
        <v>24</v>
      </c>
      <c r="B28" s="32"/>
      <c r="C28" s="26"/>
      <c r="D28" s="27" t="s">
        <v>90</v>
      </c>
      <c r="E28" s="29" t="s">
        <v>89</v>
      </c>
      <c r="F28" s="28" t="s">
        <v>86</v>
      </c>
      <c r="G28" s="45">
        <f>3.765+3.385+4.1</f>
        <v>11.25</v>
      </c>
      <c r="H28" s="45">
        <v>0.25</v>
      </c>
      <c r="I28" s="45">
        <f>3.15-2.9</f>
        <v>0.25</v>
      </c>
      <c r="J28" s="15"/>
      <c r="K28" s="15"/>
      <c r="L28" s="15"/>
      <c r="M28" s="15"/>
      <c r="N28" s="15">
        <v>11.25</v>
      </c>
      <c r="O28" s="15">
        <v>0.25</v>
      </c>
      <c r="P28" s="15"/>
      <c r="Q28" s="15"/>
      <c r="R28" s="15"/>
      <c r="S28" s="15"/>
      <c r="T28" s="45">
        <f>2.9+0.2</f>
        <v>3.1</v>
      </c>
      <c r="U28" s="45">
        <f>11.25*2*0.25</f>
        <v>5.625</v>
      </c>
      <c r="V28" s="45"/>
      <c r="W28" s="15"/>
      <c r="X28" s="15"/>
      <c r="Y28" s="46">
        <f t="shared" si="1"/>
        <v>2.8125</v>
      </c>
      <c r="Z28" s="46">
        <f t="shared" si="2"/>
        <v>0.703125</v>
      </c>
      <c r="AA28" s="46">
        <f t="shared" si="3"/>
        <v>2.8125</v>
      </c>
      <c r="AB28" s="46">
        <f t="shared" si="4"/>
        <v>5.625</v>
      </c>
      <c r="AC28" s="46">
        <f t="shared" si="5"/>
        <v>2.8125</v>
      </c>
      <c r="AD28" s="15"/>
      <c r="AF28" s="3"/>
    </row>
    <row r="29" spans="1:32" x14ac:dyDescent="0.25">
      <c r="A29" s="25" t="s">
        <v>24</v>
      </c>
      <c r="B29" s="32"/>
      <c r="C29" s="26"/>
      <c r="D29" s="27" t="s">
        <v>91</v>
      </c>
      <c r="E29" s="29" t="s">
        <v>89</v>
      </c>
      <c r="F29" s="28" t="s">
        <v>86</v>
      </c>
      <c r="G29" s="45">
        <v>2.15</v>
      </c>
      <c r="H29" s="45">
        <v>0.2</v>
      </c>
      <c r="I29" s="45">
        <v>0.17499999999999999</v>
      </c>
      <c r="J29" s="15"/>
      <c r="K29" s="15"/>
      <c r="L29" s="15"/>
      <c r="M29" s="15"/>
      <c r="N29" s="15">
        <v>2.15</v>
      </c>
      <c r="O29" s="15">
        <v>0.25</v>
      </c>
      <c r="P29" s="15"/>
      <c r="Q29" s="15"/>
      <c r="R29" s="15"/>
      <c r="S29" s="15"/>
      <c r="T29" s="45">
        <f>3.175+0.2</f>
        <v>3.375</v>
      </c>
      <c r="U29" s="45">
        <f>2.15*2*0.175</f>
        <v>0.75249999999999995</v>
      </c>
      <c r="V29" s="45"/>
      <c r="W29" s="15"/>
      <c r="X29" s="15"/>
      <c r="Y29" s="46">
        <f t="shared" si="1"/>
        <v>0.43</v>
      </c>
      <c r="Z29" s="46">
        <f t="shared" si="2"/>
        <v>7.5249999999999997E-2</v>
      </c>
      <c r="AA29" s="46">
        <f t="shared" si="3"/>
        <v>0.53749999999999998</v>
      </c>
      <c r="AB29" s="46">
        <f t="shared" si="4"/>
        <v>0.75249999999999995</v>
      </c>
      <c r="AC29" s="46">
        <f t="shared" si="5"/>
        <v>0.53749999999999998</v>
      </c>
      <c r="AD29" s="15"/>
      <c r="AF29" s="3"/>
    </row>
    <row r="30" spans="1:32" x14ac:dyDescent="0.25">
      <c r="A30" s="25" t="s">
        <v>24</v>
      </c>
      <c r="B30" s="32"/>
      <c r="C30" s="26"/>
      <c r="D30" s="27" t="s">
        <v>92</v>
      </c>
      <c r="E30" s="29" t="s">
        <v>89</v>
      </c>
      <c r="F30" s="28" t="s">
        <v>102</v>
      </c>
      <c r="G30" s="45">
        <f>3.35+4.725+4.775+4.525+4.575</f>
        <v>21.95</v>
      </c>
      <c r="H30" s="45">
        <v>0.3</v>
      </c>
      <c r="I30" s="45">
        <f>3.35-3.2</f>
        <v>0.14999999999999991</v>
      </c>
      <c r="J30" s="15"/>
      <c r="K30" s="15"/>
      <c r="L30" s="15"/>
      <c r="M30" s="15"/>
      <c r="N30" s="15">
        <f>G30</f>
        <v>21.95</v>
      </c>
      <c r="O30" s="15">
        <f>H30</f>
        <v>0.3</v>
      </c>
      <c r="P30" s="15"/>
      <c r="Q30" s="15"/>
      <c r="R30" s="15"/>
      <c r="S30" s="15"/>
      <c r="T30" s="45">
        <f>3.3+0.2</f>
        <v>3.5</v>
      </c>
      <c r="U30" s="45">
        <f>G30*0.15+G30*0.1</f>
        <v>5.4874999999999998</v>
      </c>
      <c r="V30" s="45"/>
      <c r="W30" s="15"/>
      <c r="X30" s="15"/>
      <c r="Y30" s="46">
        <f t="shared" si="1"/>
        <v>6.585</v>
      </c>
      <c r="Z30" s="46">
        <f t="shared" si="2"/>
        <v>0.98774999999999946</v>
      </c>
      <c r="AA30" s="46">
        <f t="shared" si="3"/>
        <v>6.585</v>
      </c>
      <c r="AB30" s="46">
        <f t="shared" si="4"/>
        <v>5.4874999999999998</v>
      </c>
      <c r="AC30" s="46">
        <f t="shared" si="5"/>
        <v>6.585</v>
      </c>
      <c r="AD30" s="15"/>
      <c r="AF30" s="3"/>
    </row>
    <row r="31" spans="1:32" x14ac:dyDescent="0.25">
      <c r="A31" s="25" t="s">
        <v>24</v>
      </c>
      <c r="B31" s="32"/>
      <c r="C31" s="26"/>
      <c r="D31" s="27" t="s">
        <v>93</v>
      </c>
      <c r="E31" s="29" t="s">
        <v>89</v>
      </c>
      <c r="F31" s="28" t="s">
        <v>86</v>
      </c>
      <c r="G31" s="45">
        <v>2.15</v>
      </c>
      <c r="H31" s="45">
        <v>0.2</v>
      </c>
      <c r="I31" s="45">
        <v>0.17499999999999999</v>
      </c>
      <c r="J31" s="15"/>
      <c r="K31" s="15"/>
      <c r="L31" s="15"/>
      <c r="M31" s="15"/>
      <c r="N31" s="15">
        <v>2.15</v>
      </c>
      <c r="O31" s="15">
        <v>0.25</v>
      </c>
      <c r="P31" s="15"/>
      <c r="Q31" s="15"/>
      <c r="R31" s="15"/>
      <c r="S31" s="15"/>
      <c r="T31" s="45">
        <f>3.175+0.2</f>
        <v>3.375</v>
      </c>
      <c r="U31" s="45">
        <f>2.15*2*0.175</f>
        <v>0.75249999999999995</v>
      </c>
      <c r="V31" s="45"/>
      <c r="W31" s="15"/>
      <c r="X31" s="15"/>
      <c r="Y31" s="46">
        <f t="shared" si="1"/>
        <v>0.43</v>
      </c>
      <c r="Z31" s="46">
        <f t="shared" si="2"/>
        <v>7.5249999999999997E-2</v>
      </c>
      <c r="AA31" s="46">
        <f t="shared" si="3"/>
        <v>0.53749999999999998</v>
      </c>
      <c r="AB31" s="46">
        <f t="shared" si="4"/>
        <v>0.75249999999999995</v>
      </c>
      <c r="AC31" s="46">
        <f t="shared" si="5"/>
        <v>0.53749999999999998</v>
      </c>
      <c r="AD31" s="15"/>
      <c r="AF31" s="3"/>
    </row>
    <row r="32" spans="1:32" x14ac:dyDescent="0.25">
      <c r="A32" s="25" t="s">
        <v>24</v>
      </c>
      <c r="B32" s="32"/>
      <c r="C32" s="26"/>
      <c r="D32" s="27" t="s">
        <v>94</v>
      </c>
      <c r="E32" s="29" t="s">
        <v>89</v>
      </c>
      <c r="F32" s="28" t="s">
        <v>103</v>
      </c>
      <c r="G32" s="45">
        <f>3.925+3.95+3.975+5.57</f>
        <v>17.420000000000002</v>
      </c>
      <c r="H32" s="45">
        <v>0.3</v>
      </c>
      <c r="I32" s="45">
        <f>3.35-3.2</f>
        <v>0.14999999999999991</v>
      </c>
      <c r="J32" s="15"/>
      <c r="K32" s="15"/>
      <c r="L32" s="15"/>
      <c r="M32" s="15"/>
      <c r="N32" s="15">
        <f>G32</f>
        <v>17.420000000000002</v>
      </c>
      <c r="O32" s="15">
        <f>H32</f>
        <v>0.3</v>
      </c>
      <c r="P32" s="15"/>
      <c r="Q32" s="15"/>
      <c r="R32" s="15"/>
      <c r="S32" s="15"/>
      <c r="T32" s="45">
        <f>3.3+0.2</f>
        <v>3.5</v>
      </c>
      <c r="U32" s="45">
        <f>G32*0.15+G32*0.1</f>
        <v>4.3550000000000004</v>
      </c>
      <c r="V32" s="45"/>
      <c r="W32" s="15"/>
      <c r="X32" s="15"/>
      <c r="Y32" s="46">
        <f t="shared" si="1"/>
        <v>5.226</v>
      </c>
      <c r="Z32" s="46">
        <f t="shared" si="2"/>
        <v>0.78389999999999949</v>
      </c>
      <c r="AA32" s="46">
        <f t="shared" si="3"/>
        <v>5.226</v>
      </c>
      <c r="AB32" s="46">
        <f t="shared" si="4"/>
        <v>4.3550000000000004</v>
      </c>
      <c r="AC32" s="46">
        <f t="shared" si="5"/>
        <v>5.226</v>
      </c>
      <c r="AD32" s="15"/>
      <c r="AF32" s="3"/>
    </row>
    <row r="33" spans="1:32" x14ac:dyDescent="0.25">
      <c r="A33" s="25" t="s">
        <v>24</v>
      </c>
      <c r="B33" s="32"/>
      <c r="C33" s="26"/>
      <c r="D33" s="27" t="s">
        <v>95</v>
      </c>
      <c r="E33" s="29" t="s">
        <v>332</v>
      </c>
      <c r="F33" s="28" t="s">
        <v>116</v>
      </c>
      <c r="G33" s="45">
        <f>8.95*9+2.95*6</f>
        <v>98.25</v>
      </c>
      <c r="H33" s="45">
        <v>0.15</v>
      </c>
      <c r="I33" s="45">
        <v>0.3</v>
      </c>
      <c r="J33" s="15"/>
      <c r="K33" s="15"/>
      <c r="L33" s="15"/>
      <c r="M33" s="15"/>
      <c r="N33" s="15">
        <f>8.95*9+2.95*6</f>
        <v>98.25</v>
      </c>
      <c r="O33" s="15">
        <v>0.15</v>
      </c>
      <c r="P33" s="15"/>
      <c r="Q33" s="15"/>
      <c r="R33" s="15"/>
      <c r="S33" s="15"/>
      <c r="T33" s="45">
        <f>3.1+0.2</f>
        <v>3.3000000000000003</v>
      </c>
      <c r="U33" s="15">
        <f>8.95*0.3*9*2+2.95*0.3*6*2</f>
        <v>58.949999999999989</v>
      </c>
      <c r="V33" s="45"/>
      <c r="W33" s="15"/>
      <c r="X33" s="15"/>
      <c r="Y33" s="46">
        <f t="shared" si="1"/>
        <v>14.737499999999999</v>
      </c>
      <c r="Z33" s="46">
        <f t="shared" si="2"/>
        <v>4.4212499999999997</v>
      </c>
      <c r="AA33" s="46">
        <f t="shared" si="3"/>
        <v>14.737499999999999</v>
      </c>
      <c r="AB33" s="46">
        <f t="shared" si="4"/>
        <v>58.949999999999989</v>
      </c>
      <c r="AC33" s="46">
        <f t="shared" si="5"/>
        <v>14.737499999999999</v>
      </c>
      <c r="AD33" s="15"/>
      <c r="AF33" s="3"/>
    </row>
    <row r="34" spans="1:32" x14ac:dyDescent="0.25">
      <c r="A34" s="25" t="s">
        <v>24</v>
      </c>
      <c r="B34" s="32"/>
      <c r="C34" s="26"/>
      <c r="D34" s="27" t="s">
        <v>95</v>
      </c>
      <c r="E34" s="29" t="s">
        <v>332</v>
      </c>
      <c r="F34" s="28" t="s">
        <v>117</v>
      </c>
      <c r="G34" s="45">
        <v>4.79</v>
      </c>
      <c r="H34" s="45">
        <v>7.0000000000000007E-2</v>
      </c>
      <c r="I34" s="45">
        <v>0.3</v>
      </c>
      <c r="J34" s="15"/>
      <c r="K34" s="15"/>
      <c r="L34" s="15"/>
      <c r="M34" s="15"/>
      <c r="N34" s="15">
        <v>4.79</v>
      </c>
      <c r="O34" s="15">
        <v>7.0000000000000007E-2</v>
      </c>
      <c r="P34" s="15"/>
      <c r="Q34" s="15"/>
      <c r="R34" s="15"/>
      <c r="S34" s="15"/>
      <c r="T34" s="45">
        <f>3.1+0.2</f>
        <v>3.3000000000000003</v>
      </c>
      <c r="U34" s="45">
        <f>4.79*0.3</f>
        <v>1.4370000000000001</v>
      </c>
      <c r="V34" s="45"/>
      <c r="W34" s="15"/>
      <c r="X34" s="15"/>
      <c r="Y34" s="46">
        <f t="shared" si="1"/>
        <v>0.33530000000000004</v>
      </c>
      <c r="Z34" s="46">
        <f t="shared" si="2"/>
        <v>0.10059000000000001</v>
      </c>
      <c r="AA34" s="46">
        <f t="shared" si="3"/>
        <v>0.33530000000000004</v>
      </c>
      <c r="AB34" s="46">
        <f t="shared" si="4"/>
        <v>1.4370000000000001</v>
      </c>
      <c r="AC34" s="46">
        <f t="shared" si="5"/>
        <v>0.33530000000000004</v>
      </c>
      <c r="AD34" s="15"/>
      <c r="AF34" s="3"/>
    </row>
    <row r="35" spans="1:32" x14ac:dyDescent="0.25">
      <c r="A35" s="25" t="s">
        <v>24</v>
      </c>
      <c r="B35" s="32"/>
      <c r="C35" s="26"/>
      <c r="D35" s="27" t="s">
        <v>110</v>
      </c>
      <c r="E35" s="29" t="s">
        <v>89</v>
      </c>
      <c r="F35" s="28" t="s">
        <v>86</v>
      </c>
      <c r="G35" s="45">
        <f>1.3-0.17</f>
        <v>1.1300000000000001</v>
      </c>
      <c r="H35" s="45">
        <v>0.27</v>
      </c>
      <c r="I35" s="45">
        <v>0.3</v>
      </c>
      <c r="J35" s="15"/>
      <c r="K35" s="15"/>
      <c r="L35" s="15"/>
      <c r="M35" s="15"/>
      <c r="N35" s="15">
        <f t="shared" ref="N35:O37" si="14">G35</f>
        <v>1.1300000000000001</v>
      </c>
      <c r="O35" s="15">
        <f t="shared" si="14"/>
        <v>0.27</v>
      </c>
      <c r="P35" s="15"/>
      <c r="Q35" s="15"/>
      <c r="R35" s="15"/>
      <c r="S35" s="15"/>
      <c r="T35" s="45">
        <f t="shared" ref="T35:T40" si="15">3.1+0.2</f>
        <v>3.3000000000000003</v>
      </c>
      <c r="U35" s="45">
        <f>G35*I35*2</f>
        <v>0.67800000000000005</v>
      </c>
      <c r="V35" s="45"/>
      <c r="W35" s="15"/>
      <c r="X35" s="15"/>
      <c r="Y35" s="46">
        <f t="shared" si="1"/>
        <v>0.30510000000000004</v>
      </c>
      <c r="Z35" s="46">
        <f t="shared" si="2"/>
        <v>9.1530000000000014E-2</v>
      </c>
      <c r="AA35" s="46">
        <f t="shared" si="3"/>
        <v>0.30510000000000004</v>
      </c>
      <c r="AB35" s="46">
        <f t="shared" si="4"/>
        <v>0.67800000000000005</v>
      </c>
      <c r="AC35" s="46">
        <f t="shared" si="5"/>
        <v>0.30510000000000004</v>
      </c>
      <c r="AD35" s="15"/>
      <c r="AF35" s="3"/>
    </row>
    <row r="36" spans="1:32" x14ac:dyDescent="0.25">
      <c r="A36" s="25" t="s">
        <v>24</v>
      </c>
      <c r="B36" s="32"/>
      <c r="C36" s="26"/>
      <c r="D36" s="27" t="s">
        <v>111</v>
      </c>
      <c r="E36" s="29" t="s">
        <v>89</v>
      </c>
      <c r="F36" s="28" t="s">
        <v>86</v>
      </c>
      <c r="G36" s="45">
        <v>3.0350000000000001</v>
      </c>
      <c r="H36" s="45">
        <v>0.27</v>
      </c>
      <c r="I36" s="45">
        <v>0.3</v>
      </c>
      <c r="J36" s="15"/>
      <c r="K36" s="15"/>
      <c r="L36" s="15"/>
      <c r="M36" s="15"/>
      <c r="N36" s="15">
        <f t="shared" si="14"/>
        <v>3.0350000000000001</v>
      </c>
      <c r="O36" s="15">
        <f t="shared" si="14"/>
        <v>0.27</v>
      </c>
      <c r="P36" s="15"/>
      <c r="Q36" s="15"/>
      <c r="R36" s="15"/>
      <c r="S36" s="15"/>
      <c r="T36" s="45">
        <f t="shared" si="15"/>
        <v>3.3000000000000003</v>
      </c>
      <c r="U36" s="45">
        <f>G36*0.3+G36*0.25</f>
        <v>1.6692499999999999</v>
      </c>
      <c r="V36" s="45"/>
      <c r="W36" s="15"/>
      <c r="X36" s="15"/>
      <c r="Y36" s="46">
        <f t="shared" si="1"/>
        <v>0.81945000000000012</v>
      </c>
      <c r="Z36" s="46">
        <f t="shared" si="2"/>
        <v>0.24583500000000003</v>
      </c>
      <c r="AA36" s="46">
        <f t="shared" si="3"/>
        <v>0.81945000000000012</v>
      </c>
      <c r="AB36" s="46">
        <f t="shared" si="4"/>
        <v>1.6692499999999999</v>
      </c>
      <c r="AC36" s="46">
        <f t="shared" si="5"/>
        <v>0.81945000000000012</v>
      </c>
      <c r="AD36" s="15"/>
      <c r="AF36" s="3"/>
    </row>
    <row r="37" spans="1:32" x14ac:dyDescent="0.25">
      <c r="A37" s="25" t="s">
        <v>24</v>
      </c>
      <c r="B37" s="32"/>
      <c r="C37" s="26"/>
      <c r="D37" s="27" t="s">
        <v>112</v>
      </c>
      <c r="E37" s="29" t="s">
        <v>89</v>
      </c>
      <c r="F37" s="28" t="s">
        <v>86</v>
      </c>
      <c r="G37" s="45">
        <v>9.75</v>
      </c>
      <c r="H37" s="45">
        <v>0.75</v>
      </c>
      <c r="I37" s="45">
        <v>0.3</v>
      </c>
      <c r="J37" s="15"/>
      <c r="K37" s="15"/>
      <c r="L37" s="15"/>
      <c r="M37" s="15"/>
      <c r="N37" s="15">
        <f t="shared" si="14"/>
        <v>9.75</v>
      </c>
      <c r="O37" s="15">
        <f t="shared" si="14"/>
        <v>0.75</v>
      </c>
      <c r="P37" s="15"/>
      <c r="Q37" s="15"/>
      <c r="R37" s="15"/>
      <c r="S37" s="15"/>
      <c r="T37" s="45">
        <f t="shared" si="15"/>
        <v>3.3000000000000003</v>
      </c>
      <c r="U37" s="45">
        <f>G37*0.3</f>
        <v>2.9249999999999998</v>
      </c>
      <c r="V37" s="45"/>
      <c r="W37" s="15"/>
      <c r="X37" s="15"/>
      <c r="Y37" s="46">
        <f t="shared" si="1"/>
        <v>7.3125</v>
      </c>
      <c r="Z37" s="46">
        <f t="shared" si="2"/>
        <v>2.1937500000000001</v>
      </c>
      <c r="AA37" s="46">
        <f t="shared" si="3"/>
        <v>7.3125</v>
      </c>
      <c r="AB37" s="46">
        <f t="shared" si="4"/>
        <v>2.9249999999999998</v>
      </c>
      <c r="AC37" s="46">
        <f t="shared" si="5"/>
        <v>7.3125</v>
      </c>
      <c r="AD37" s="15"/>
      <c r="AF37" s="3"/>
    </row>
    <row r="38" spans="1:32" x14ac:dyDescent="0.25">
      <c r="A38" s="25" t="s">
        <v>24</v>
      </c>
      <c r="B38" s="32"/>
      <c r="C38" s="26"/>
      <c r="D38" s="27"/>
      <c r="E38" s="29" t="s">
        <v>89</v>
      </c>
      <c r="F38" s="28" t="s">
        <v>86</v>
      </c>
      <c r="G38" s="45">
        <v>1.1000000000000001</v>
      </c>
      <c r="H38" s="45">
        <v>0.28499999999999998</v>
      </c>
      <c r="I38" s="45">
        <v>0.3</v>
      </c>
      <c r="J38" s="15"/>
      <c r="K38" s="15"/>
      <c r="L38" s="15"/>
      <c r="M38" s="15"/>
      <c r="N38" s="15">
        <f t="shared" ref="N38:N39" si="16">G38</f>
        <v>1.1000000000000001</v>
      </c>
      <c r="O38" s="15">
        <f t="shared" ref="O38:O41" si="17">H38</f>
        <v>0.28499999999999998</v>
      </c>
      <c r="P38" s="15"/>
      <c r="Q38" s="15"/>
      <c r="R38" s="15"/>
      <c r="S38" s="15"/>
      <c r="T38" s="45">
        <f t="shared" si="15"/>
        <v>3.3000000000000003</v>
      </c>
      <c r="U38" s="45">
        <f>(1.1+0.285+0.2)*0.3</f>
        <v>0.47549999999999998</v>
      </c>
      <c r="V38" s="45"/>
      <c r="W38" s="15"/>
      <c r="X38" s="15"/>
      <c r="Y38" s="46">
        <f t="shared" si="1"/>
        <v>0.3135</v>
      </c>
      <c r="Z38" s="46">
        <f t="shared" si="2"/>
        <v>9.4049999999999995E-2</v>
      </c>
      <c r="AA38" s="46">
        <f t="shared" si="3"/>
        <v>0.3135</v>
      </c>
      <c r="AB38" s="46">
        <f t="shared" si="4"/>
        <v>0.47549999999999998</v>
      </c>
      <c r="AC38" s="46">
        <f t="shared" si="5"/>
        <v>0.3135</v>
      </c>
      <c r="AD38" s="15"/>
      <c r="AF38" s="3"/>
    </row>
    <row r="39" spans="1:32" x14ac:dyDescent="0.25">
      <c r="A39" s="25" t="s">
        <v>24</v>
      </c>
      <c r="B39" s="32"/>
      <c r="C39" s="26"/>
      <c r="D39" s="27"/>
      <c r="E39" s="29" t="s">
        <v>89</v>
      </c>
      <c r="F39" s="28" t="s">
        <v>86</v>
      </c>
      <c r="G39" s="45">
        <v>0.5</v>
      </c>
      <c r="H39" s="45">
        <v>0.26500000000000001</v>
      </c>
      <c r="I39" s="45">
        <v>0.3</v>
      </c>
      <c r="J39" s="15"/>
      <c r="K39" s="15"/>
      <c r="L39" s="15"/>
      <c r="M39" s="15"/>
      <c r="N39" s="15">
        <f t="shared" si="16"/>
        <v>0.5</v>
      </c>
      <c r="O39" s="15">
        <f t="shared" si="17"/>
        <v>0.26500000000000001</v>
      </c>
      <c r="P39" s="15"/>
      <c r="Q39" s="15"/>
      <c r="R39" s="15"/>
      <c r="S39" s="15"/>
      <c r="T39" s="45">
        <f t="shared" si="15"/>
        <v>3.3000000000000003</v>
      </c>
      <c r="U39" s="45">
        <f>(0.5+0.265)*0.3</f>
        <v>0.22949999999999998</v>
      </c>
      <c r="V39" s="45"/>
      <c r="W39" s="15"/>
      <c r="X39" s="15"/>
      <c r="Y39" s="46">
        <f t="shared" si="1"/>
        <v>0.13250000000000001</v>
      </c>
      <c r="Z39" s="46">
        <f t="shared" si="2"/>
        <v>3.9750000000000001E-2</v>
      </c>
      <c r="AA39" s="46">
        <f t="shared" si="3"/>
        <v>0.13250000000000001</v>
      </c>
      <c r="AB39" s="46">
        <f t="shared" si="4"/>
        <v>0.22949999999999998</v>
      </c>
      <c r="AC39" s="46">
        <f t="shared" si="5"/>
        <v>0.13250000000000001</v>
      </c>
      <c r="AD39" s="15"/>
      <c r="AF39" s="3"/>
    </row>
    <row r="40" spans="1:32" x14ac:dyDescent="0.25">
      <c r="A40" s="25" t="s">
        <v>24</v>
      </c>
      <c r="B40" s="32"/>
      <c r="C40" s="26"/>
      <c r="D40" s="27"/>
      <c r="E40" s="29" t="s">
        <v>89</v>
      </c>
      <c r="F40" s="28" t="s">
        <v>86</v>
      </c>
      <c r="G40" s="45">
        <v>1.2</v>
      </c>
      <c r="H40" s="45">
        <v>0.75</v>
      </c>
      <c r="I40" s="45">
        <f>3.35-3.1</f>
        <v>0.25</v>
      </c>
      <c r="J40" s="15"/>
      <c r="K40" s="15"/>
      <c r="L40" s="15"/>
      <c r="M40" s="15"/>
      <c r="N40" s="15">
        <f t="shared" ref="N40" si="18">G40</f>
        <v>1.2</v>
      </c>
      <c r="O40" s="15">
        <f t="shared" ref="O40" si="19">H40</f>
        <v>0.75</v>
      </c>
      <c r="P40" s="15"/>
      <c r="Q40" s="15"/>
      <c r="R40" s="15"/>
      <c r="S40" s="15"/>
      <c r="T40" s="45">
        <f t="shared" si="15"/>
        <v>3.3000000000000003</v>
      </c>
      <c r="U40" s="45">
        <f>(1.2*2+0.75)*I40</f>
        <v>0.78749999999999998</v>
      </c>
      <c r="V40" s="45"/>
      <c r="W40" s="15"/>
      <c r="X40" s="15"/>
      <c r="Y40" s="46">
        <f t="shared" ref="Y40" si="20">IF(((G40*H40)+J40-K40+L40)=0,"",((G40*H40)+J40-K40+L40))</f>
        <v>0.89999999999999991</v>
      </c>
      <c r="Z40" s="46">
        <f t="shared" ref="Z40" si="21">IF(PRODUCT(Y40,I40)+M40=0,"",Y40*I40+M40)</f>
        <v>0.22499999999999998</v>
      </c>
      <c r="AA40" s="46">
        <f t="shared" ref="AA40" si="22">IF((N40*O40+P40-Q40-R40+S40)=0,"",(N40*O40+P40-Q40-R40+S40))</f>
        <v>0.89999999999999991</v>
      </c>
      <c r="AB40" s="46">
        <f t="shared" ref="AB40" si="23">IF((U40+V40-W40+X40)=0,"",(U40+V40-W40+X40))</f>
        <v>0.78749999999999998</v>
      </c>
      <c r="AC40" s="46">
        <f t="shared" ref="AC40" si="24">IF((N40*O40+P40-Q40-R40+S40)=0,"",(N40*O40+P40-Q40-R40+S40))</f>
        <v>0.89999999999999991</v>
      </c>
      <c r="AD40" s="15"/>
      <c r="AF40" s="3"/>
    </row>
    <row r="41" spans="1:32" x14ac:dyDescent="0.25">
      <c r="A41" s="25" t="s">
        <v>24</v>
      </c>
      <c r="B41" s="32"/>
      <c r="C41" s="26"/>
      <c r="D41" s="27" t="s">
        <v>113</v>
      </c>
      <c r="E41" s="29" t="s">
        <v>89</v>
      </c>
      <c r="F41" s="28" t="s">
        <v>86</v>
      </c>
      <c r="G41" s="45">
        <v>3.145</v>
      </c>
      <c r="H41" s="45">
        <v>0.32</v>
      </c>
      <c r="I41" s="45">
        <v>0.3</v>
      </c>
      <c r="J41" s="15"/>
      <c r="K41" s="15"/>
      <c r="L41" s="15"/>
      <c r="M41" s="15"/>
      <c r="N41" s="15">
        <f>G41</f>
        <v>3.145</v>
      </c>
      <c r="O41" s="15">
        <f t="shared" si="17"/>
        <v>0.32</v>
      </c>
      <c r="P41" s="15"/>
      <c r="Q41" s="15"/>
      <c r="R41" s="15"/>
      <c r="S41" s="15"/>
      <c r="T41" s="45">
        <f>3.1+0.2</f>
        <v>3.3000000000000003</v>
      </c>
      <c r="U41" s="45">
        <f>G41*2*I41-(0.15*5*0.3)</f>
        <v>1.6619999999999999</v>
      </c>
      <c r="V41" s="45"/>
      <c r="W41" s="15"/>
      <c r="X41" s="15"/>
      <c r="Y41" s="46">
        <f t="shared" si="1"/>
        <v>1.0064</v>
      </c>
      <c r="Z41" s="46">
        <f t="shared" si="2"/>
        <v>0.30191999999999997</v>
      </c>
      <c r="AA41" s="46">
        <f t="shared" si="3"/>
        <v>1.0064</v>
      </c>
      <c r="AB41" s="46">
        <f t="shared" si="4"/>
        <v>1.6619999999999999</v>
      </c>
      <c r="AC41" s="46">
        <f t="shared" si="5"/>
        <v>1.0064</v>
      </c>
      <c r="AD41" s="15"/>
      <c r="AF41" s="3"/>
    </row>
    <row r="42" spans="1:32" x14ac:dyDescent="0.25">
      <c r="A42" s="25" t="s">
        <v>24</v>
      </c>
      <c r="B42" s="32"/>
      <c r="C42" s="26"/>
      <c r="D42" s="27" t="s">
        <v>114</v>
      </c>
      <c r="E42" s="29" t="s">
        <v>89</v>
      </c>
      <c r="F42" s="28" t="s">
        <v>86</v>
      </c>
      <c r="G42" s="45">
        <f>5.85+0.32</f>
        <v>6.17</v>
      </c>
      <c r="H42" s="45">
        <v>0.57999999999999996</v>
      </c>
      <c r="I42" s="45">
        <v>0.3</v>
      </c>
      <c r="J42" s="15"/>
      <c r="K42" s="15"/>
      <c r="L42" s="15"/>
      <c r="M42" s="15"/>
      <c r="N42" s="15">
        <f t="shared" ref="N42" si="25">G42</f>
        <v>6.17</v>
      </c>
      <c r="O42" s="15">
        <f t="shared" ref="O42" si="26">H42</f>
        <v>0.57999999999999996</v>
      </c>
      <c r="P42" s="15"/>
      <c r="Q42" s="15"/>
      <c r="R42" s="15"/>
      <c r="S42" s="15"/>
      <c r="T42" s="45">
        <f t="shared" ref="T42:T43" si="27">3.1+0.2</f>
        <v>3.3000000000000003</v>
      </c>
      <c r="U42" s="45">
        <f>G42*2*I42+(0.58*2+0.2+0.32-0.17-0.15)*0.3</f>
        <v>4.1100000000000003</v>
      </c>
      <c r="V42" s="45"/>
      <c r="W42" s="15"/>
      <c r="X42" s="15"/>
      <c r="Y42" s="46">
        <f t="shared" ref="Y42:Y44" si="28">IF(((G42*H42)+J42-K42+L42)=0,"",((G42*H42)+J42-K42+L42))</f>
        <v>3.5785999999999998</v>
      </c>
      <c r="Z42" s="46">
        <f t="shared" ref="Z42:Z44" si="29">IF(PRODUCT(Y42,I42)+M42=0,"",Y42*I42+M42)</f>
        <v>1.07358</v>
      </c>
      <c r="AA42" s="46">
        <f t="shared" ref="AA42:AA44" si="30">IF((N42*O42+P42-Q42-R42+S42)=0,"",(N42*O42+P42-Q42-R42+S42))</f>
        <v>3.5785999999999998</v>
      </c>
      <c r="AB42" s="46">
        <f t="shared" ref="AB42:AB44" si="31">IF((U42+V42-W42+X42)=0,"",(U42+V42-W42+X42))</f>
        <v>4.1100000000000003</v>
      </c>
      <c r="AC42" s="46">
        <f t="shared" ref="AC42:AC44" si="32">IF((N42*O42+P42-Q42-R42+S42)=0,"",(N42*O42+P42-Q42-R42+S42))</f>
        <v>3.5785999999999998</v>
      </c>
      <c r="AD42" s="15"/>
      <c r="AF42" s="3"/>
    </row>
    <row r="43" spans="1:32" x14ac:dyDescent="0.25">
      <c r="A43" s="25" t="s">
        <v>24</v>
      </c>
      <c r="B43" s="32"/>
      <c r="C43" s="26"/>
      <c r="D43" s="27" t="s">
        <v>115</v>
      </c>
      <c r="E43" s="29" t="s">
        <v>89</v>
      </c>
      <c r="F43" s="28" t="s">
        <v>86</v>
      </c>
      <c r="G43" s="45">
        <v>5.95</v>
      </c>
      <c r="H43" s="45">
        <v>0.37</v>
      </c>
      <c r="I43" s="45">
        <v>0.3</v>
      </c>
      <c r="J43" s="15"/>
      <c r="K43" s="15"/>
      <c r="L43" s="15"/>
      <c r="M43" s="15"/>
      <c r="N43" s="15">
        <f t="shared" ref="N43" si="33">G43</f>
        <v>5.95</v>
      </c>
      <c r="O43" s="15">
        <f t="shared" ref="O43:O44" si="34">H43</f>
        <v>0.37</v>
      </c>
      <c r="P43" s="15"/>
      <c r="Q43" s="15"/>
      <c r="R43" s="15"/>
      <c r="S43" s="15"/>
      <c r="T43" s="45">
        <f t="shared" si="27"/>
        <v>3.3000000000000003</v>
      </c>
      <c r="U43" s="45">
        <f>G43*2*I43-(0.15*9*0.3)</f>
        <v>3.165</v>
      </c>
      <c r="V43" s="45"/>
      <c r="W43" s="15"/>
      <c r="X43" s="15"/>
      <c r="Y43" s="46">
        <f t="shared" ref="Y43" si="35">IF(((G43*H43)+J43-K43+L43)=0,"",((G43*H43)+J43-K43+L43))</f>
        <v>2.2015000000000002</v>
      </c>
      <c r="Z43" s="46">
        <f t="shared" ref="Z43" si="36">IF(PRODUCT(Y43,I43)+M43=0,"",Y43*I43+M43)</f>
        <v>0.66045000000000009</v>
      </c>
      <c r="AA43" s="46">
        <f t="shared" ref="AA43" si="37">IF((N43*O43+P43-Q43-R43+S43)=0,"",(N43*O43+P43-Q43-R43+S43))</f>
        <v>2.2015000000000002</v>
      </c>
      <c r="AB43" s="46">
        <f t="shared" ref="AB43" si="38">IF((U43+V43-W43+X43)=0,"",(U43+V43-W43+X43))</f>
        <v>3.165</v>
      </c>
      <c r="AC43" s="46">
        <f t="shared" ref="AC43" si="39">IF((N43*O43+P43-Q43-R43+S43)=0,"",(N43*O43+P43-Q43-R43+S43))</f>
        <v>2.2015000000000002</v>
      </c>
      <c r="AD43" s="15"/>
      <c r="AF43" s="3"/>
    </row>
    <row r="44" spans="1:32" x14ac:dyDescent="0.25">
      <c r="A44" s="25" t="s">
        <v>24</v>
      </c>
      <c r="B44" s="32"/>
      <c r="C44" s="26"/>
      <c r="D44" s="27" t="s">
        <v>118</v>
      </c>
      <c r="E44" s="29" t="s">
        <v>89</v>
      </c>
      <c r="F44" s="28" t="s">
        <v>86</v>
      </c>
      <c r="G44" s="45">
        <f>6.85+0.2+2.55</f>
        <v>9.6</v>
      </c>
      <c r="H44" s="45">
        <v>0.65</v>
      </c>
      <c r="I44" s="45">
        <v>0.17</v>
      </c>
      <c r="J44" s="15"/>
      <c r="K44" s="15"/>
      <c r="L44" s="15"/>
      <c r="M44" s="15"/>
      <c r="N44" s="15">
        <f>G44</f>
        <v>9.6</v>
      </c>
      <c r="O44" s="15">
        <f t="shared" si="34"/>
        <v>0.65</v>
      </c>
      <c r="P44" s="15"/>
      <c r="Q44" s="15"/>
      <c r="R44" s="15"/>
      <c r="S44" s="15"/>
      <c r="T44" s="45">
        <f>3.18+0.2</f>
        <v>3.3800000000000003</v>
      </c>
      <c r="U44" s="45">
        <f>G44*I44</f>
        <v>1.6320000000000001</v>
      </c>
      <c r="V44" s="45"/>
      <c r="W44" s="15"/>
      <c r="X44" s="15"/>
      <c r="Y44" s="46">
        <f t="shared" si="28"/>
        <v>6.24</v>
      </c>
      <c r="Z44" s="46">
        <f t="shared" si="29"/>
        <v>1.0608000000000002</v>
      </c>
      <c r="AA44" s="46">
        <f t="shared" si="30"/>
        <v>6.24</v>
      </c>
      <c r="AB44" s="46">
        <f t="shared" si="31"/>
        <v>1.6320000000000001</v>
      </c>
      <c r="AC44" s="46">
        <f t="shared" si="32"/>
        <v>6.24</v>
      </c>
      <c r="AD44" s="15"/>
      <c r="AF44" s="3"/>
    </row>
    <row r="45" spans="1:32" x14ac:dyDescent="0.25">
      <c r="A45" s="25" t="s">
        <v>24</v>
      </c>
      <c r="B45" s="32"/>
      <c r="C45" s="26"/>
      <c r="D45" s="27"/>
      <c r="E45" s="29" t="s">
        <v>581</v>
      </c>
      <c r="F45" s="28" t="s">
        <v>580</v>
      </c>
      <c r="G45" s="45">
        <v>9.44</v>
      </c>
      <c r="H45" s="45">
        <v>0.04</v>
      </c>
      <c r="I45" s="45">
        <v>1</v>
      </c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45"/>
      <c r="U45" s="45"/>
      <c r="V45" s="45"/>
      <c r="W45" s="15"/>
      <c r="X45" s="15"/>
      <c r="Y45" s="46">
        <f t="shared" ref="Y45" si="40">IF(((G45*H45)+J45-K45+L45)=0,"",((G45*H45)+J45-K45+L45))</f>
        <v>0.37759999999999999</v>
      </c>
      <c r="Z45" s="46">
        <f t="shared" ref="Z45" si="41">IF(PRODUCT(Y45,I45)+M45=0,"",Y45*I45+M45)</f>
        <v>0.37759999999999999</v>
      </c>
      <c r="AA45" s="46" t="str">
        <f t="shared" ref="AA45" si="42">IF((N45*O45+P45-Q45-R45+S45)=0,"",(N45*O45+P45-Q45-R45+S45))</f>
        <v/>
      </c>
      <c r="AB45" s="46" t="str">
        <f t="shared" ref="AB45" si="43">IF((U45+V45-W45+X45)=0,"",(U45+V45-W45+X45))</f>
        <v/>
      </c>
      <c r="AC45" s="46" t="str">
        <f t="shared" ref="AC45" si="44">IF((N45*O45+P45-Q45-R45+S45)=0,"",(N45*O45+P45-Q45-R45+S45))</f>
        <v/>
      </c>
      <c r="AD45" s="15"/>
      <c r="AF45" s="3"/>
    </row>
    <row r="46" spans="1:32" x14ac:dyDescent="0.25">
      <c r="A46" s="33" t="s">
        <v>23</v>
      </c>
      <c r="B46" s="32"/>
      <c r="C46" s="26"/>
      <c r="D46" s="27"/>
      <c r="E46" s="29"/>
      <c r="F46" s="28"/>
      <c r="G46" s="45"/>
      <c r="H46" s="45"/>
      <c r="I46" s="4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45"/>
      <c r="U46" s="45"/>
      <c r="V46" s="45"/>
      <c r="W46" s="15"/>
      <c r="X46" s="15"/>
      <c r="Y46" s="46" t="str">
        <f t="shared" ref="Y46:Y99" si="45">IF(((G46*H46)+J46-K46+L46)=0,"",((G46*H46)+J46-K46+L46))</f>
        <v/>
      </c>
      <c r="Z46" s="46" t="str">
        <f t="shared" ref="Z46:Z99" si="46">IF(PRODUCT(Y46,I46)+M46=0,"",Y46*I46+M46)</f>
        <v/>
      </c>
      <c r="AA46" s="46" t="str">
        <f t="shared" ref="AA46:AA99" si="47">IF((N46*O46+P46-Q46-R46+S46)=0,"",(N46*O46+P46-Q46-R46+S46))</f>
        <v/>
      </c>
      <c r="AB46" s="46" t="str">
        <f t="shared" ref="AB46:AB99" si="48">IF((U46+V46-W46+X46)=0,"",(U46+V46-W46+X46))</f>
        <v/>
      </c>
      <c r="AC46" s="46" t="str">
        <f t="shared" si="5"/>
        <v/>
      </c>
      <c r="AD46" s="15"/>
      <c r="AF46" s="3"/>
    </row>
    <row r="47" spans="1:32" x14ac:dyDescent="0.25">
      <c r="A47" s="25" t="s">
        <v>25</v>
      </c>
      <c r="B47" s="32"/>
      <c r="C47" s="26"/>
      <c r="D47" s="27" t="s">
        <v>122</v>
      </c>
      <c r="E47" s="29" t="s">
        <v>138</v>
      </c>
      <c r="F47" s="28" t="s">
        <v>140</v>
      </c>
      <c r="G47" s="45">
        <f>39.85+0.4*2</f>
        <v>40.65</v>
      </c>
      <c r="H47" s="45">
        <v>0.4</v>
      </c>
      <c r="I47" s="45">
        <v>0.15</v>
      </c>
      <c r="J47" s="15"/>
      <c r="K47" s="15"/>
      <c r="L47" s="15"/>
      <c r="M47" s="15"/>
      <c r="N47" s="15">
        <f>G47</f>
        <v>40.65</v>
      </c>
      <c r="O47" s="15">
        <f>H47</f>
        <v>0.4</v>
      </c>
      <c r="P47" s="15"/>
      <c r="Q47" s="15"/>
      <c r="R47" s="15"/>
      <c r="S47" s="15"/>
      <c r="T47" s="45">
        <f>6.4-3.55</f>
        <v>2.8500000000000005</v>
      </c>
      <c r="U47" s="45">
        <f>(G47+0.4*2)*I47</f>
        <v>6.2174999999999994</v>
      </c>
      <c r="V47" s="45"/>
      <c r="W47" s="15"/>
      <c r="X47" s="15"/>
      <c r="Y47" s="46">
        <f t="shared" si="45"/>
        <v>16.260000000000002</v>
      </c>
      <c r="Z47" s="46">
        <f t="shared" si="46"/>
        <v>2.4390000000000001</v>
      </c>
      <c r="AA47" s="46">
        <f t="shared" si="47"/>
        <v>16.260000000000002</v>
      </c>
      <c r="AB47" s="46">
        <f t="shared" si="48"/>
        <v>6.2174999999999994</v>
      </c>
      <c r="AC47" s="46">
        <f t="shared" si="5"/>
        <v>16.260000000000002</v>
      </c>
      <c r="AD47" s="15"/>
      <c r="AF47" s="3"/>
    </row>
    <row r="48" spans="1:32" x14ac:dyDescent="0.25">
      <c r="A48" s="25" t="s">
        <v>25</v>
      </c>
      <c r="B48" s="32"/>
      <c r="C48" s="26"/>
      <c r="D48" s="27" t="s">
        <v>123</v>
      </c>
      <c r="E48" s="29" t="s">
        <v>138</v>
      </c>
      <c r="F48" s="28" t="s">
        <v>140</v>
      </c>
      <c r="G48" s="45">
        <v>19.8</v>
      </c>
      <c r="H48" s="45">
        <v>0.4</v>
      </c>
      <c r="I48" s="45">
        <v>0.15</v>
      </c>
      <c r="J48" s="15"/>
      <c r="K48" s="15"/>
      <c r="L48" s="15"/>
      <c r="M48" s="15"/>
      <c r="N48" s="15">
        <f t="shared" ref="N48:N51" si="49">G48</f>
        <v>19.8</v>
      </c>
      <c r="O48" s="15">
        <f t="shared" ref="O48:O51" si="50">H48</f>
        <v>0.4</v>
      </c>
      <c r="P48" s="15"/>
      <c r="Q48" s="15"/>
      <c r="R48" s="15"/>
      <c r="S48" s="15"/>
      <c r="T48" s="45">
        <f t="shared" ref="T48:T50" si="51">6.4-3.55</f>
        <v>2.8500000000000005</v>
      </c>
      <c r="U48" s="45">
        <f>(G48+0.4)*I48</f>
        <v>3.03</v>
      </c>
      <c r="V48" s="45"/>
      <c r="W48" s="15"/>
      <c r="X48" s="15"/>
      <c r="Y48" s="46">
        <f t="shared" si="45"/>
        <v>7.9200000000000008</v>
      </c>
      <c r="Z48" s="46">
        <f t="shared" si="46"/>
        <v>1.1880000000000002</v>
      </c>
      <c r="AA48" s="46">
        <f t="shared" si="47"/>
        <v>7.9200000000000008</v>
      </c>
      <c r="AB48" s="46">
        <f t="shared" si="48"/>
        <v>3.03</v>
      </c>
      <c r="AC48" s="46">
        <f t="shared" si="5"/>
        <v>7.9200000000000008</v>
      </c>
      <c r="AD48" s="15"/>
      <c r="AF48" s="3"/>
    </row>
    <row r="49" spans="1:32" x14ac:dyDescent="0.25">
      <c r="A49" s="25" t="s">
        <v>25</v>
      </c>
      <c r="B49" s="32"/>
      <c r="C49" s="26"/>
      <c r="D49" s="27" t="s">
        <v>124</v>
      </c>
      <c r="E49" s="29" t="s">
        <v>138</v>
      </c>
      <c r="F49" s="28" t="s">
        <v>140</v>
      </c>
      <c r="G49" s="45">
        <f>19.85+0.4</f>
        <v>20.25</v>
      </c>
      <c r="H49" s="45">
        <v>0.4</v>
      </c>
      <c r="I49" s="45">
        <v>0.15</v>
      </c>
      <c r="J49" s="15"/>
      <c r="K49" s="15"/>
      <c r="L49" s="15"/>
      <c r="M49" s="15"/>
      <c r="N49" s="15">
        <f t="shared" si="49"/>
        <v>20.25</v>
      </c>
      <c r="O49" s="15">
        <f t="shared" si="50"/>
        <v>0.4</v>
      </c>
      <c r="P49" s="15"/>
      <c r="Q49" s="15"/>
      <c r="R49" s="15"/>
      <c r="S49" s="15"/>
      <c r="T49" s="45">
        <f t="shared" si="51"/>
        <v>2.8500000000000005</v>
      </c>
      <c r="U49" s="45">
        <f t="shared" ref="U49:U51" si="52">(G49+0.4*2)*I49</f>
        <v>3.1575000000000002</v>
      </c>
      <c r="V49" s="45"/>
      <c r="W49" s="15"/>
      <c r="X49" s="15"/>
      <c r="Y49" s="46">
        <f t="shared" si="45"/>
        <v>8.1</v>
      </c>
      <c r="Z49" s="46">
        <f t="shared" si="46"/>
        <v>1.2149999999999999</v>
      </c>
      <c r="AA49" s="46">
        <f t="shared" si="47"/>
        <v>8.1</v>
      </c>
      <c r="AB49" s="46">
        <f t="shared" si="48"/>
        <v>3.1575000000000002</v>
      </c>
      <c r="AC49" s="46">
        <f t="shared" si="5"/>
        <v>8.1</v>
      </c>
      <c r="AD49" s="15"/>
      <c r="AF49" s="3"/>
    </row>
    <row r="50" spans="1:32" x14ac:dyDescent="0.25">
      <c r="A50" s="25" t="s">
        <v>25</v>
      </c>
      <c r="B50" s="32"/>
      <c r="C50" s="26"/>
      <c r="D50" s="27" t="s">
        <v>125</v>
      </c>
      <c r="E50" s="29" t="s">
        <v>138</v>
      </c>
      <c r="F50" s="28" t="s">
        <v>140</v>
      </c>
      <c r="G50" s="45">
        <v>27.4</v>
      </c>
      <c r="H50" s="45">
        <v>0.4</v>
      </c>
      <c r="I50" s="45">
        <v>0.15</v>
      </c>
      <c r="J50" s="15"/>
      <c r="K50" s="15"/>
      <c r="L50" s="15"/>
      <c r="M50" s="15"/>
      <c r="N50" s="15">
        <f t="shared" si="49"/>
        <v>27.4</v>
      </c>
      <c r="O50" s="15">
        <f t="shared" si="50"/>
        <v>0.4</v>
      </c>
      <c r="P50" s="15"/>
      <c r="Q50" s="15"/>
      <c r="R50" s="15"/>
      <c r="S50" s="15"/>
      <c r="T50" s="45">
        <f t="shared" si="51"/>
        <v>2.8500000000000005</v>
      </c>
      <c r="U50" s="45">
        <f>(G50)*I50</f>
        <v>4.1099999999999994</v>
      </c>
      <c r="V50" s="45"/>
      <c r="W50" s="15"/>
      <c r="X50" s="15"/>
      <c r="Y50" s="46">
        <f t="shared" si="45"/>
        <v>10.96</v>
      </c>
      <c r="Z50" s="46">
        <f t="shared" si="46"/>
        <v>1.6440000000000001</v>
      </c>
      <c r="AA50" s="46">
        <f t="shared" si="47"/>
        <v>10.96</v>
      </c>
      <c r="AB50" s="46">
        <f t="shared" si="48"/>
        <v>4.1099999999999994</v>
      </c>
      <c r="AC50" s="46">
        <f t="shared" ref="AC50:AC104" si="53">IF((N50*O50+P50-Q50-R50+S50)=0,"",(N50*O50+P50-Q50-R50+S50))</f>
        <v>10.96</v>
      </c>
      <c r="AD50" s="15"/>
      <c r="AF50" s="3"/>
    </row>
    <row r="51" spans="1:32" x14ac:dyDescent="0.25">
      <c r="A51" s="25" t="s">
        <v>25</v>
      </c>
      <c r="B51" s="32"/>
      <c r="C51" s="26"/>
      <c r="D51" s="27" t="s">
        <v>126</v>
      </c>
      <c r="E51" s="29" t="s">
        <v>138</v>
      </c>
      <c r="F51" s="28" t="s">
        <v>140</v>
      </c>
      <c r="G51" s="45">
        <f>39.7+0.4*2</f>
        <v>40.5</v>
      </c>
      <c r="H51" s="45">
        <v>0.4</v>
      </c>
      <c r="I51" s="45">
        <v>0.15</v>
      </c>
      <c r="J51" s="15"/>
      <c r="K51" s="15"/>
      <c r="L51" s="15"/>
      <c r="M51" s="15"/>
      <c r="N51" s="15">
        <f t="shared" si="49"/>
        <v>40.5</v>
      </c>
      <c r="O51" s="15">
        <f t="shared" si="50"/>
        <v>0.4</v>
      </c>
      <c r="P51" s="15"/>
      <c r="Q51" s="15"/>
      <c r="R51" s="15"/>
      <c r="S51" s="15"/>
      <c r="T51" s="45">
        <f>6.4-3.5</f>
        <v>2.9000000000000004</v>
      </c>
      <c r="U51" s="45">
        <f t="shared" si="52"/>
        <v>6.1949999999999994</v>
      </c>
      <c r="V51" s="45"/>
      <c r="W51" s="15"/>
      <c r="X51" s="15"/>
      <c r="Y51" s="46">
        <f t="shared" si="45"/>
        <v>16.2</v>
      </c>
      <c r="Z51" s="46">
        <f t="shared" si="46"/>
        <v>2.4299999999999997</v>
      </c>
      <c r="AA51" s="46">
        <f t="shared" si="47"/>
        <v>16.2</v>
      </c>
      <c r="AB51" s="46">
        <f t="shared" si="48"/>
        <v>6.1949999999999994</v>
      </c>
      <c r="AC51" s="46">
        <f t="shared" si="53"/>
        <v>16.2</v>
      </c>
      <c r="AD51" s="15"/>
      <c r="AF51" s="3"/>
    </row>
    <row r="52" spans="1:32" x14ac:dyDescent="0.25">
      <c r="A52" s="25" t="s">
        <v>25</v>
      </c>
      <c r="B52" s="32"/>
      <c r="C52" s="26"/>
      <c r="D52" s="27" t="s">
        <v>127</v>
      </c>
      <c r="E52" s="29" t="s">
        <v>138</v>
      </c>
      <c r="F52" s="28" t="s">
        <v>140</v>
      </c>
      <c r="G52" s="45">
        <v>10.199999999999999</v>
      </c>
      <c r="H52" s="45">
        <v>0.4</v>
      </c>
      <c r="I52" s="45">
        <v>0.15</v>
      </c>
      <c r="J52" s="15"/>
      <c r="K52" s="15"/>
      <c r="L52" s="15"/>
      <c r="M52" s="15"/>
      <c r="N52" s="15">
        <f t="shared" ref="N52:N54" si="54">G52</f>
        <v>10.199999999999999</v>
      </c>
      <c r="O52" s="15">
        <f t="shared" ref="O52:O54" si="55">H52</f>
        <v>0.4</v>
      </c>
      <c r="P52" s="15"/>
      <c r="Q52" s="15"/>
      <c r="R52" s="15"/>
      <c r="S52" s="15"/>
      <c r="T52" s="45">
        <f t="shared" ref="T52:T55" si="56">6.4-3.5</f>
        <v>2.9000000000000004</v>
      </c>
      <c r="U52" s="45">
        <f>(G52)*I52</f>
        <v>1.5299999999999998</v>
      </c>
      <c r="V52" s="45"/>
      <c r="W52" s="15"/>
      <c r="X52" s="15"/>
      <c r="Y52" s="46">
        <f t="shared" si="45"/>
        <v>4.08</v>
      </c>
      <c r="Z52" s="46">
        <f t="shared" si="46"/>
        <v>0.61199999999999999</v>
      </c>
      <c r="AA52" s="46">
        <f t="shared" si="47"/>
        <v>4.08</v>
      </c>
      <c r="AB52" s="46">
        <f t="shared" si="48"/>
        <v>1.5299999999999998</v>
      </c>
      <c r="AC52" s="46">
        <f t="shared" si="53"/>
        <v>4.08</v>
      </c>
      <c r="AD52" s="15"/>
      <c r="AF52" s="3"/>
    </row>
    <row r="53" spans="1:32" x14ac:dyDescent="0.25">
      <c r="A53" s="25" t="s">
        <v>25</v>
      </c>
      <c r="B53" s="32"/>
      <c r="C53" s="26"/>
      <c r="D53" s="27" t="s">
        <v>128</v>
      </c>
      <c r="E53" s="29" t="s">
        <v>138</v>
      </c>
      <c r="F53" s="28" t="s">
        <v>140</v>
      </c>
      <c r="G53" s="45">
        <v>6.89</v>
      </c>
      <c r="H53" s="45">
        <v>0.4</v>
      </c>
      <c r="I53" s="45">
        <v>0.15</v>
      </c>
      <c r="J53" s="15"/>
      <c r="K53" s="15"/>
      <c r="L53" s="15"/>
      <c r="M53" s="15"/>
      <c r="N53" s="15">
        <f t="shared" si="54"/>
        <v>6.89</v>
      </c>
      <c r="O53" s="15">
        <f t="shared" si="55"/>
        <v>0.4</v>
      </c>
      <c r="P53" s="15"/>
      <c r="Q53" s="15"/>
      <c r="R53" s="15"/>
      <c r="S53" s="15"/>
      <c r="T53" s="45">
        <f>6.4-3.3</f>
        <v>3.1000000000000005</v>
      </c>
      <c r="U53" s="45">
        <f t="shared" ref="U53:U54" si="57">(G53+0.4*2)*I53</f>
        <v>1.1535</v>
      </c>
      <c r="V53" s="45"/>
      <c r="W53" s="15"/>
      <c r="X53" s="15"/>
      <c r="Y53" s="46">
        <f t="shared" si="45"/>
        <v>2.7560000000000002</v>
      </c>
      <c r="Z53" s="46">
        <f t="shared" si="46"/>
        <v>0.41340000000000005</v>
      </c>
      <c r="AA53" s="46">
        <f t="shared" si="47"/>
        <v>2.7560000000000002</v>
      </c>
      <c r="AB53" s="46">
        <f t="shared" si="48"/>
        <v>1.1535</v>
      </c>
      <c r="AC53" s="46">
        <f t="shared" si="53"/>
        <v>2.7560000000000002</v>
      </c>
      <c r="AD53" s="15"/>
      <c r="AF53" s="3"/>
    </row>
    <row r="54" spans="1:32" x14ac:dyDescent="0.25">
      <c r="A54" s="25" t="s">
        <v>25</v>
      </c>
      <c r="B54" s="32"/>
      <c r="C54" s="26"/>
      <c r="D54" s="27" t="s">
        <v>129</v>
      </c>
      <c r="E54" s="29" t="s">
        <v>138</v>
      </c>
      <c r="F54" s="28" t="s">
        <v>140</v>
      </c>
      <c r="G54" s="45">
        <v>11.8</v>
      </c>
      <c r="H54" s="45">
        <v>0.4</v>
      </c>
      <c r="I54" s="45">
        <v>0.15</v>
      </c>
      <c r="J54" s="15"/>
      <c r="K54" s="15"/>
      <c r="L54" s="15"/>
      <c r="M54" s="15"/>
      <c r="N54" s="15">
        <f t="shared" si="54"/>
        <v>11.8</v>
      </c>
      <c r="O54" s="15">
        <f t="shared" si="55"/>
        <v>0.4</v>
      </c>
      <c r="P54" s="15"/>
      <c r="Q54" s="15"/>
      <c r="R54" s="15"/>
      <c r="S54" s="15"/>
      <c r="T54" s="45">
        <f t="shared" si="56"/>
        <v>2.9000000000000004</v>
      </c>
      <c r="U54" s="45">
        <f t="shared" si="57"/>
        <v>1.8900000000000001</v>
      </c>
      <c r="V54" s="45"/>
      <c r="W54" s="15"/>
      <c r="X54" s="15"/>
      <c r="Y54" s="46">
        <f t="shared" si="45"/>
        <v>4.7200000000000006</v>
      </c>
      <c r="Z54" s="46">
        <f t="shared" si="46"/>
        <v>0.70800000000000007</v>
      </c>
      <c r="AA54" s="46">
        <f t="shared" si="47"/>
        <v>4.7200000000000006</v>
      </c>
      <c r="AB54" s="46">
        <f t="shared" si="48"/>
        <v>1.8900000000000001</v>
      </c>
      <c r="AC54" s="46">
        <f t="shared" si="53"/>
        <v>4.7200000000000006</v>
      </c>
      <c r="AD54" s="15"/>
      <c r="AF54" s="3"/>
    </row>
    <row r="55" spans="1:32" x14ac:dyDescent="0.25">
      <c r="A55" s="25" t="s">
        <v>25</v>
      </c>
      <c r="B55" s="32"/>
      <c r="C55" s="26"/>
      <c r="D55" s="27" t="s">
        <v>130</v>
      </c>
      <c r="E55" s="29" t="s">
        <v>138</v>
      </c>
      <c r="F55" s="28" t="s">
        <v>140</v>
      </c>
      <c r="G55" s="45">
        <v>28.2</v>
      </c>
      <c r="H55" s="45">
        <v>0.4</v>
      </c>
      <c r="I55" s="45">
        <v>0.15</v>
      </c>
      <c r="J55" s="15"/>
      <c r="K55" s="15"/>
      <c r="L55" s="15"/>
      <c r="M55" s="15"/>
      <c r="N55" s="15">
        <f t="shared" ref="N55" si="58">G55</f>
        <v>28.2</v>
      </c>
      <c r="O55" s="15">
        <f t="shared" ref="O55" si="59">H55</f>
        <v>0.4</v>
      </c>
      <c r="P55" s="15"/>
      <c r="Q55" s="15"/>
      <c r="R55" s="15"/>
      <c r="S55" s="15"/>
      <c r="T55" s="45">
        <f t="shared" si="56"/>
        <v>2.9000000000000004</v>
      </c>
      <c r="U55" s="45">
        <f t="shared" ref="U55" si="60">(G55+0.4*2)*I55</f>
        <v>4.3499999999999996</v>
      </c>
      <c r="V55" s="45"/>
      <c r="W55" s="15"/>
      <c r="X55" s="15"/>
      <c r="Y55" s="46">
        <f t="shared" si="45"/>
        <v>11.280000000000001</v>
      </c>
      <c r="Z55" s="46">
        <f t="shared" si="46"/>
        <v>1.6920000000000002</v>
      </c>
      <c r="AA55" s="46">
        <f t="shared" si="47"/>
        <v>11.280000000000001</v>
      </c>
      <c r="AB55" s="46">
        <f t="shared" si="48"/>
        <v>4.3499999999999996</v>
      </c>
      <c r="AC55" s="46">
        <f t="shared" si="53"/>
        <v>11.280000000000001</v>
      </c>
      <c r="AD55" s="15"/>
      <c r="AF55" s="3"/>
    </row>
    <row r="56" spans="1:32" x14ac:dyDescent="0.25">
      <c r="A56" s="25" t="s">
        <v>25</v>
      </c>
      <c r="B56" s="32"/>
      <c r="C56" s="26"/>
      <c r="D56" s="27" t="s">
        <v>131</v>
      </c>
      <c r="E56" s="29" t="s">
        <v>76</v>
      </c>
      <c r="F56" s="28" t="s">
        <v>155</v>
      </c>
      <c r="G56" s="45">
        <f>0.45+11+0.24</f>
        <v>11.69</v>
      </c>
      <c r="H56" s="45">
        <f>0.2+6.51+0.24</f>
        <v>6.95</v>
      </c>
      <c r="I56" s="45">
        <v>0.25</v>
      </c>
      <c r="J56" s="15"/>
      <c r="K56" s="15"/>
      <c r="L56" s="15"/>
      <c r="M56" s="15"/>
      <c r="N56" s="15">
        <v>11</v>
      </c>
      <c r="O56" s="15">
        <v>6.51</v>
      </c>
      <c r="P56" s="15"/>
      <c r="Q56" s="15"/>
      <c r="R56" s="15"/>
      <c r="S56" s="15"/>
      <c r="T56" s="45">
        <f>6.4-3.55</f>
        <v>2.8500000000000005</v>
      </c>
      <c r="U56" s="45">
        <f>(11+0.24)*2*0.25+(6.15+0.2+0.24)*0.05</f>
        <v>5.9495000000000005</v>
      </c>
      <c r="V56" s="45"/>
      <c r="W56" s="15"/>
      <c r="X56" s="15"/>
      <c r="Y56" s="46">
        <f t="shared" si="45"/>
        <v>81.245499999999993</v>
      </c>
      <c r="Z56" s="46">
        <f t="shared" si="46"/>
        <v>20.311374999999998</v>
      </c>
      <c r="AA56" s="46">
        <f t="shared" si="47"/>
        <v>71.61</v>
      </c>
      <c r="AB56" s="46">
        <f t="shared" si="48"/>
        <v>5.9495000000000005</v>
      </c>
      <c r="AC56" s="46">
        <f t="shared" si="53"/>
        <v>71.61</v>
      </c>
      <c r="AD56" s="15"/>
      <c r="AF56" s="3"/>
    </row>
    <row r="57" spans="1:32" x14ac:dyDescent="0.25">
      <c r="A57" s="25" t="s">
        <v>25</v>
      </c>
      <c r="B57" s="32"/>
      <c r="C57" s="26"/>
      <c r="D57" s="27" t="s">
        <v>132</v>
      </c>
      <c r="E57" s="29" t="s">
        <v>76</v>
      </c>
      <c r="F57" s="28" t="s">
        <v>142</v>
      </c>
      <c r="G57" s="45">
        <f>2.4+0.24*2</f>
        <v>2.88</v>
      </c>
      <c r="H57" s="45">
        <f>0.94+0.24</f>
        <v>1.18</v>
      </c>
      <c r="I57" s="45">
        <v>0.18</v>
      </c>
      <c r="J57" s="15"/>
      <c r="K57" s="15"/>
      <c r="L57" s="15"/>
      <c r="M57" s="15"/>
      <c r="N57" s="15">
        <f>G57</f>
        <v>2.88</v>
      </c>
      <c r="O57" s="15">
        <f>H57</f>
        <v>1.18</v>
      </c>
      <c r="P57" s="15"/>
      <c r="Q57" s="15"/>
      <c r="R57" s="15"/>
      <c r="S57" s="15"/>
      <c r="T57" s="45">
        <f>4.97-3.5</f>
        <v>1.4699999999999998</v>
      </c>
      <c r="U57" s="45">
        <f>(G57*2+H57*2)*0.18</f>
        <v>1.4615999999999998</v>
      </c>
      <c r="V57" s="45"/>
      <c r="W57" s="15"/>
      <c r="X57" s="15"/>
      <c r="Y57" s="46">
        <f t="shared" si="45"/>
        <v>3.3983999999999996</v>
      </c>
      <c r="Z57" s="46">
        <f t="shared" si="46"/>
        <v>0.61171199999999992</v>
      </c>
      <c r="AA57" s="46">
        <f t="shared" si="47"/>
        <v>3.3983999999999996</v>
      </c>
      <c r="AB57" s="46">
        <f t="shared" si="48"/>
        <v>1.4615999999999998</v>
      </c>
      <c r="AC57" s="46">
        <f t="shared" si="53"/>
        <v>3.3983999999999996</v>
      </c>
      <c r="AD57" s="15"/>
      <c r="AF57" s="3"/>
    </row>
    <row r="58" spans="1:32" x14ac:dyDescent="0.25">
      <c r="A58" s="25" t="s">
        <v>25</v>
      </c>
      <c r="B58" s="32"/>
      <c r="C58" s="26"/>
      <c r="D58" s="27" t="s">
        <v>133</v>
      </c>
      <c r="E58" s="29" t="s">
        <v>76</v>
      </c>
      <c r="F58" s="28" t="s">
        <v>143</v>
      </c>
      <c r="G58" s="45">
        <v>2.4</v>
      </c>
      <c r="H58" s="45">
        <v>1.47</v>
      </c>
      <c r="I58" s="45">
        <v>0.2</v>
      </c>
      <c r="J58" s="15"/>
      <c r="K58" s="15"/>
      <c r="L58" s="15"/>
      <c r="M58" s="15"/>
      <c r="N58" s="15">
        <f>G58</f>
        <v>2.4</v>
      </c>
      <c r="O58" s="15">
        <f>H58</f>
        <v>1.47</v>
      </c>
      <c r="P58" s="15"/>
      <c r="Q58" s="15"/>
      <c r="R58" s="15"/>
      <c r="S58" s="15"/>
      <c r="T58" s="45">
        <f>6.45-3.5</f>
        <v>2.95</v>
      </c>
      <c r="U58" s="45">
        <f>G58*0.2</f>
        <v>0.48</v>
      </c>
      <c r="V58" s="45"/>
      <c r="W58" s="15"/>
      <c r="X58" s="15"/>
      <c r="Y58" s="46">
        <f t="shared" si="45"/>
        <v>3.528</v>
      </c>
      <c r="Z58" s="46">
        <f t="shared" si="46"/>
        <v>0.7056</v>
      </c>
      <c r="AA58" s="46">
        <f t="shared" si="47"/>
        <v>3.528</v>
      </c>
      <c r="AB58" s="46">
        <f t="shared" si="48"/>
        <v>0.48</v>
      </c>
      <c r="AC58" s="46">
        <f t="shared" si="53"/>
        <v>3.528</v>
      </c>
      <c r="AD58" s="15"/>
      <c r="AF58" s="3"/>
    </row>
    <row r="59" spans="1:32" x14ac:dyDescent="0.25">
      <c r="A59" s="25" t="s">
        <v>25</v>
      </c>
      <c r="B59" s="32"/>
      <c r="C59" s="26"/>
      <c r="D59" s="27" t="s">
        <v>134</v>
      </c>
      <c r="E59" s="29" t="s">
        <v>76</v>
      </c>
      <c r="F59" s="28" t="s">
        <v>156</v>
      </c>
      <c r="G59" s="45">
        <f>2.4+0.2+1.75+0.24</f>
        <v>4.59</v>
      </c>
      <c r="H59" s="45">
        <f>2.305+0.25</f>
        <v>2.5550000000000002</v>
      </c>
      <c r="I59" s="45">
        <v>0.2</v>
      </c>
      <c r="J59" s="15"/>
      <c r="K59" s="15"/>
      <c r="L59" s="15"/>
      <c r="M59" s="15"/>
      <c r="N59" s="15">
        <f>2.4+0.2+1.75</f>
        <v>4.3499999999999996</v>
      </c>
      <c r="O59" s="15">
        <f>H59</f>
        <v>2.5550000000000002</v>
      </c>
      <c r="P59" s="15"/>
      <c r="Q59" s="15"/>
      <c r="R59" s="15"/>
      <c r="S59" s="15"/>
      <c r="T59" s="45">
        <f>6.45-3.55</f>
        <v>2.9000000000000004</v>
      </c>
      <c r="U59" s="45">
        <f>(4.59+2.555)*0.2+3.95*0.05+(4.59-3.95)*0.2</f>
        <v>1.7544999999999999</v>
      </c>
      <c r="V59" s="45"/>
      <c r="W59" s="15"/>
      <c r="X59" s="15"/>
      <c r="Y59" s="46">
        <f t="shared" si="45"/>
        <v>11.727450000000001</v>
      </c>
      <c r="Z59" s="46">
        <f t="shared" si="46"/>
        <v>2.3454900000000003</v>
      </c>
      <c r="AA59" s="46">
        <f t="shared" si="47"/>
        <v>11.11425</v>
      </c>
      <c r="AB59" s="46">
        <f t="shared" si="48"/>
        <v>1.7544999999999999</v>
      </c>
      <c r="AC59" s="46">
        <f t="shared" si="53"/>
        <v>11.11425</v>
      </c>
      <c r="AD59" s="15"/>
      <c r="AF59" s="3"/>
    </row>
    <row r="60" spans="1:32" x14ac:dyDescent="0.25">
      <c r="A60" s="25" t="s">
        <v>25</v>
      </c>
      <c r="B60" s="32"/>
      <c r="C60" s="26"/>
      <c r="D60" s="27" t="s">
        <v>135</v>
      </c>
      <c r="E60" s="29" t="s">
        <v>76</v>
      </c>
      <c r="F60" s="28" t="s">
        <v>142</v>
      </c>
      <c r="G60" s="45">
        <f>(1.54*2+0.15+0.24*2)</f>
        <v>3.71</v>
      </c>
      <c r="H60" s="45">
        <f>1.45+0.15</f>
        <v>1.5999999999999999</v>
      </c>
      <c r="I60" s="45">
        <v>0.18</v>
      </c>
      <c r="J60" s="15"/>
      <c r="K60" s="15"/>
      <c r="L60" s="15"/>
      <c r="M60" s="15"/>
      <c r="N60" s="15">
        <f>1.54*2+0.18</f>
        <v>3.2600000000000002</v>
      </c>
      <c r="O60" s="15">
        <v>1.6</v>
      </c>
      <c r="P60" s="15"/>
      <c r="Q60" s="15"/>
      <c r="R60" s="15"/>
      <c r="S60" s="15"/>
      <c r="T60" s="45">
        <f>4.97-1.596</f>
        <v>3.3739999999999997</v>
      </c>
      <c r="U60" s="45">
        <f>(3.71*2+1.6*2)*0.18</f>
        <v>1.9116000000000002</v>
      </c>
      <c r="V60" s="45"/>
      <c r="W60" s="15"/>
      <c r="X60" s="15"/>
      <c r="Y60" s="46">
        <f t="shared" si="45"/>
        <v>5.9359999999999991</v>
      </c>
      <c r="Z60" s="46">
        <f t="shared" si="46"/>
        <v>1.0684799999999999</v>
      </c>
      <c r="AA60" s="46">
        <f t="shared" si="47"/>
        <v>5.2160000000000011</v>
      </c>
      <c r="AB60" s="46">
        <f t="shared" si="48"/>
        <v>1.9116000000000002</v>
      </c>
      <c r="AC60" s="46">
        <f t="shared" si="53"/>
        <v>5.2160000000000011</v>
      </c>
      <c r="AD60" s="15"/>
      <c r="AF60" s="3"/>
    </row>
    <row r="61" spans="1:32" x14ac:dyDescent="0.25">
      <c r="A61" s="25" t="s">
        <v>25</v>
      </c>
      <c r="B61" s="32"/>
      <c r="C61" s="26"/>
      <c r="D61" s="27" t="s">
        <v>157</v>
      </c>
      <c r="E61" s="29" t="s">
        <v>76</v>
      </c>
      <c r="F61" s="28" t="s">
        <v>156</v>
      </c>
      <c r="G61" s="45"/>
      <c r="H61" s="45"/>
      <c r="I61" s="45">
        <v>0.2</v>
      </c>
      <c r="J61" s="15">
        <v>217.41</v>
      </c>
      <c r="K61" s="15">
        <f>0.9*0.55+1.03*0.28</f>
        <v>0.7834000000000001</v>
      </c>
      <c r="L61" s="15"/>
      <c r="M61" s="15"/>
      <c r="N61" s="15"/>
      <c r="O61" s="15"/>
      <c r="P61" s="15">
        <f>138.84+65.96</f>
        <v>204.8</v>
      </c>
      <c r="Q61" s="15">
        <f>0.9*0.55+1.03*0.28</f>
        <v>0.7834000000000001</v>
      </c>
      <c r="R61" s="15">
        <f>6.02*0.25</f>
        <v>1.5049999999999999</v>
      </c>
      <c r="S61" s="15"/>
      <c r="T61" s="45">
        <f>6.45-3.55</f>
        <v>2.9000000000000004</v>
      </c>
      <c r="U61" s="45">
        <f>(38.535+8.595)*0.2</f>
        <v>9.4260000000000002</v>
      </c>
      <c r="V61" s="15">
        <f>(0.9*2+0.55*2)*0.2+(1.03*2+0.28*2)*0.2</f>
        <v>1.1040000000000001</v>
      </c>
      <c r="W61" s="15"/>
      <c r="X61" s="15"/>
      <c r="Y61" s="46">
        <f t="shared" si="45"/>
        <v>216.6266</v>
      </c>
      <c r="Z61" s="46">
        <f t="shared" si="46"/>
        <v>43.325320000000005</v>
      </c>
      <c r="AA61" s="46">
        <f t="shared" si="47"/>
        <v>202.51160000000002</v>
      </c>
      <c r="AB61" s="46">
        <f t="shared" si="48"/>
        <v>10.530000000000001</v>
      </c>
      <c r="AC61" s="46">
        <f t="shared" si="53"/>
        <v>202.51160000000002</v>
      </c>
      <c r="AD61" s="15"/>
      <c r="AF61" s="3"/>
    </row>
    <row r="62" spans="1:32" x14ac:dyDescent="0.25">
      <c r="A62" s="25" t="s">
        <v>25</v>
      </c>
      <c r="B62" s="32"/>
      <c r="C62" s="26"/>
      <c r="D62" s="27" t="s">
        <v>158</v>
      </c>
      <c r="E62" s="29" t="s">
        <v>76</v>
      </c>
      <c r="F62" s="28" t="s">
        <v>156</v>
      </c>
      <c r="G62" s="45">
        <v>5.58</v>
      </c>
      <c r="H62" s="45">
        <f>0.24+1.54*2+0.18+0.24</f>
        <v>3.74</v>
      </c>
      <c r="I62" s="45">
        <v>0.2</v>
      </c>
      <c r="J62" s="15"/>
      <c r="K62" s="15"/>
      <c r="L62" s="15"/>
      <c r="M62" s="15"/>
      <c r="N62" s="45">
        <f>5.58-0.24</f>
        <v>5.34</v>
      </c>
      <c r="O62" s="45">
        <f>1.54*2+0.18</f>
        <v>3.2600000000000002</v>
      </c>
      <c r="P62" s="15"/>
      <c r="Q62" s="15"/>
      <c r="R62" s="15"/>
      <c r="S62" s="15"/>
      <c r="T62" s="45">
        <f>6.45-3.55</f>
        <v>2.9000000000000004</v>
      </c>
      <c r="U62" s="45">
        <f>(5.58*2+3.74-4.02)*0.2</f>
        <v>2.1760000000000002</v>
      </c>
      <c r="V62" s="45"/>
      <c r="W62" s="15"/>
      <c r="X62" s="15"/>
      <c r="Y62" s="46">
        <f t="shared" si="45"/>
        <v>20.869200000000003</v>
      </c>
      <c r="Z62" s="46">
        <f t="shared" si="46"/>
        <v>4.1738400000000011</v>
      </c>
      <c r="AA62" s="46">
        <f t="shared" si="47"/>
        <v>17.4084</v>
      </c>
      <c r="AB62" s="46">
        <f t="shared" si="48"/>
        <v>2.1760000000000002</v>
      </c>
      <c r="AC62" s="46">
        <f t="shared" si="53"/>
        <v>17.4084</v>
      </c>
      <c r="AD62" s="15"/>
      <c r="AF62" s="3"/>
    </row>
    <row r="63" spans="1:32" x14ac:dyDescent="0.25">
      <c r="A63" s="25" t="s">
        <v>25</v>
      </c>
      <c r="B63" s="32"/>
      <c r="C63" s="26"/>
      <c r="D63" s="27" t="s">
        <v>159</v>
      </c>
      <c r="E63" s="29" t="s">
        <v>76</v>
      </c>
      <c r="F63" s="28" t="s">
        <v>155</v>
      </c>
      <c r="G63" s="45"/>
      <c r="H63" s="45"/>
      <c r="I63" s="45">
        <v>0.25</v>
      </c>
      <c r="J63" s="15">
        <v>185.2</v>
      </c>
      <c r="K63" s="15">
        <f>0.9*0.47+1.5*0.5</f>
        <v>1.173</v>
      </c>
      <c r="L63" s="15"/>
      <c r="M63" s="15"/>
      <c r="N63" s="15"/>
      <c r="O63" s="15"/>
      <c r="P63" s="15">
        <f>70.1+25.98+72.28</f>
        <v>168.36</v>
      </c>
      <c r="Q63" s="15">
        <f>0.9*0.47+1.5*0.5</f>
        <v>1.173</v>
      </c>
      <c r="R63" s="15"/>
      <c r="S63" s="15"/>
      <c r="T63" s="45">
        <f>6.4-3.55</f>
        <v>2.8500000000000005</v>
      </c>
      <c r="U63" s="45">
        <f>(6.155+4)*0.05+(57.57-6.155-4)*0.25</f>
        <v>12.361499999999999</v>
      </c>
      <c r="V63" s="45">
        <f>(0.9*2+0.47*2)*0.25+(1.5*2+0.5*2)*0.25</f>
        <v>1.6850000000000001</v>
      </c>
      <c r="W63" s="15"/>
      <c r="X63" s="15"/>
      <c r="Y63" s="46">
        <f t="shared" si="45"/>
        <v>184.02699999999999</v>
      </c>
      <c r="Z63" s="46">
        <f t="shared" si="46"/>
        <v>46.006749999999997</v>
      </c>
      <c r="AA63" s="46">
        <f t="shared" si="47"/>
        <v>167.18700000000001</v>
      </c>
      <c r="AB63" s="46">
        <f t="shared" si="48"/>
        <v>14.0465</v>
      </c>
      <c r="AC63" s="46">
        <f t="shared" si="53"/>
        <v>167.18700000000001</v>
      </c>
      <c r="AD63" s="15"/>
      <c r="AF63" s="3"/>
    </row>
    <row r="64" spans="1:32" x14ac:dyDescent="0.25">
      <c r="A64" s="25" t="s">
        <v>25</v>
      </c>
      <c r="B64" s="32"/>
      <c r="C64" s="26"/>
      <c r="D64" s="27" t="s">
        <v>160</v>
      </c>
      <c r="E64" s="29" t="s">
        <v>76</v>
      </c>
      <c r="F64" s="28" t="s">
        <v>142</v>
      </c>
      <c r="G64" s="45">
        <f>0.24*2+1.13*2+0.16</f>
        <v>2.9</v>
      </c>
      <c r="H64" s="45">
        <f>0.93+0.24</f>
        <v>1.17</v>
      </c>
      <c r="I64" s="45">
        <v>0.18</v>
      </c>
      <c r="J64" s="15"/>
      <c r="K64" s="15"/>
      <c r="L64" s="15"/>
      <c r="M64" s="15"/>
      <c r="N64" s="15">
        <f>1.13*2+0.16</f>
        <v>2.42</v>
      </c>
      <c r="O64" s="15">
        <v>0.93</v>
      </c>
      <c r="P64" s="15"/>
      <c r="Q64" s="15"/>
      <c r="R64" s="15"/>
      <c r="S64" s="15"/>
      <c r="T64" s="45">
        <f>4.97-2.21</f>
        <v>2.76</v>
      </c>
      <c r="U64" s="45">
        <f>(2.9*2+1.17*2)*0.18</f>
        <v>1.4652000000000001</v>
      </c>
      <c r="V64" s="45"/>
      <c r="W64" s="15"/>
      <c r="X64" s="15"/>
      <c r="Y64" s="46">
        <f t="shared" si="45"/>
        <v>3.3929999999999998</v>
      </c>
      <c r="Z64" s="46">
        <f t="shared" si="46"/>
        <v>0.61073999999999995</v>
      </c>
      <c r="AA64" s="46">
        <f t="shared" si="47"/>
        <v>2.2505999999999999</v>
      </c>
      <c r="AB64" s="46">
        <f t="shared" si="48"/>
        <v>1.4652000000000001</v>
      </c>
      <c r="AC64" s="46">
        <f t="shared" si="53"/>
        <v>2.2505999999999999</v>
      </c>
      <c r="AD64" s="15"/>
      <c r="AF64" s="3"/>
    </row>
    <row r="65" spans="1:32" x14ac:dyDescent="0.25">
      <c r="A65" s="25" t="s">
        <v>25</v>
      </c>
      <c r="B65" s="32"/>
      <c r="C65" s="26"/>
      <c r="D65" s="27" t="s">
        <v>161</v>
      </c>
      <c r="E65" s="29" t="s">
        <v>76</v>
      </c>
      <c r="F65" s="28" t="s">
        <v>170</v>
      </c>
      <c r="G65" s="45">
        <f>0.24*2+1.13*2+0.16</f>
        <v>2.9</v>
      </c>
      <c r="H65" s="45">
        <v>1.56</v>
      </c>
      <c r="I65" s="45">
        <v>0.2</v>
      </c>
      <c r="J65" s="15"/>
      <c r="K65" s="15"/>
      <c r="L65" s="15"/>
      <c r="M65" s="15"/>
      <c r="N65" s="15">
        <f>1.13*2+0.16</f>
        <v>2.42</v>
      </c>
      <c r="O65" s="15">
        <v>1.36</v>
      </c>
      <c r="P65" s="15"/>
      <c r="Q65" s="15"/>
      <c r="R65" s="15"/>
      <c r="S65" s="15"/>
      <c r="T65" s="45">
        <f>6.45-3.55</f>
        <v>2.9000000000000004</v>
      </c>
      <c r="U65" s="45">
        <f>(2.9+1.56*2)*0.2</f>
        <v>1.204</v>
      </c>
      <c r="V65" s="45"/>
      <c r="W65" s="15"/>
      <c r="X65" s="15"/>
      <c r="Y65" s="46">
        <f t="shared" si="45"/>
        <v>4.524</v>
      </c>
      <c r="Z65" s="46">
        <f t="shared" si="46"/>
        <v>0.90480000000000005</v>
      </c>
      <c r="AA65" s="46">
        <f t="shared" si="47"/>
        <v>3.2912000000000003</v>
      </c>
      <c r="AB65" s="46">
        <f t="shared" si="48"/>
        <v>1.204</v>
      </c>
      <c r="AC65" s="46">
        <f t="shared" si="53"/>
        <v>3.2912000000000003</v>
      </c>
      <c r="AD65" s="15"/>
      <c r="AF65" s="3"/>
    </row>
    <row r="66" spans="1:32" x14ac:dyDescent="0.25">
      <c r="A66" s="25" t="s">
        <v>25</v>
      </c>
      <c r="B66" s="32"/>
      <c r="C66" s="26"/>
      <c r="D66" s="27" t="s">
        <v>141</v>
      </c>
      <c r="E66" s="29" t="s">
        <v>89</v>
      </c>
      <c r="F66" s="28" t="s">
        <v>86</v>
      </c>
      <c r="G66" s="45">
        <v>2.8</v>
      </c>
      <c r="H66" s="45">
        <v>0.2</v>
      </c>
      <c r="I66" s="45">
        <f>6.4-(2.65+3.55)</f>
        <v>0.20000000000000107</v>
      </c>
      <c r="J66" s="15"/>
      <c r="K66" s="15"/>
      <c r="L66" s="15"/>
      <c r="M66" s="15"/>
      <c r="N66" s="15">
        <f t="shared" ref="N66:N81" si="61">G66</f>
        <v>2.8</v>
      </c>
      <c r="O66" s="15">
        <f t="shared" ref="O66:O81" si="62">H66</f>
        <v>0.2</v>
      </c>
      <c r="P66" s="15"/>
      <c r="Q66" s="15"/>
      <c r="R66" s="15"/>
      <c r="S66" s="15"/>
      <c r="T66" s="45">
        <f>6.2-3.55</f>
        <v>2.6500000000000004</v>
      </c>
      <c r="U66" s="45">
        <f>G66*2*I66</f>
        <v>1.1200000000000059</v>
      </c>
      <c r="V66" s="45"/>
      <c r="W66" s="15"/>
      <c r="X66" s="15"/>
      <c r="Y66" s="46">
        <f t="shared" si="45"/>
        <v>0.55999999999999994</v>
      </c>
      <c r="Z66" s="46">
        <f t="shared" si="46"/>
        <v>0.11200000000000059</v>
      </c>
      <c r="AA66" s="46">
        <f t="shared" si="47"/>
        <v>0.55999999999999994</v>
      </c>
      <c r="AB66" s="46">
        <f t="shared" si="48"/>
        <v>1.1200000000000059</v>
      </c>
      <c r="AC66" s="46">
        <f t="shared" si="53"/>
        <v>0.55999999999999994</v>
      </c>
      <c r="AD66" s="15"/>
      <c r="AF66" s="3"/>
    </row>
    <row r="67" spans="1:32" x14ac:dyDescent="0.25">
      <c r="A67" s="25" t="s">
        <v>25</v>
      </c>
      <c r="B67" s="32"/>
      <c r="C67" s="26"/>
      <c r="D67" s="27" t="s">
        <v>144</v>
      </c>
      <c r="E67" s="29" t="s">
        <v>89</v>
      </c>
      <c r="F67" s="28" t="s">
        <v>86</v>
      </c>
      <c r="G67" s="45">
        <f>6.51+0.24</f>
        <v>6.75</v>
      </c>
      <c r="H67" s="45">
        <v>0.45</v>
      </c>
      <c r="I67" s="45">
        <v>0.2</v>
      </c>
      <c r="J67" s="15"/>
      <c r="K67" s="15"/>
      <c r="L67" s="15"/>
      <c r="M67" s="15"/>
      <c r="N67" s="15">
        <f t="shared" si="61"/>
        <v>6.75</v>
      </c>
      <c r="O67" s="15">
        <f t="shared" si="62"/>
        <v>0.45</v>
      </c>
      <c r="P67" s="15"/>
      <c r="Q67" s="15"/>
      <c r="R67" s="15"/>
      <c r="S67" s="15"/>
      <c r="T67" s="45">
        <f>6.2-3.55</f>
        <v>2.6500000000000004</v>
      </c>
      <c r="U67" s="45">
        <f>G67*2*I67-0.24*0.2+0.45*0.2</f>
        <v>2.742</v>
      </c>
      <c r="V67" s="45"/>
      <c r="W67" s="15"/>
      <c r="X67" s="15"/>
      <c r="Y67" s="46">
        <f t="shared" si="45"/>
        <v>3.0375000000000001</v>
      </c>
      <c r="Z67" s="46">
        <f t="shared" si="46"/>
        <v>0.60750000000000004</v>
      </c>
      <c r="AA67" s="46">
        <f t="shared" si="47"/>
        <v>3.0375000000000001</v>
      </c>
      <c r="AB67" s="46">
        <f t="shared" si="48"/>
        <v>2.742</v>
      </c>
      <c r="AC67" s="46">
        <f t="shared" si="53"/>
        <v>3.0375000000000001</v>
      </c>
      <c r="AD67" s="15"/>
      <c r="AF67" s="3"/>
    </row>
    <row r="68" spans="1:32" x14ac:dyDescent="0.25">
      <c r="A68" s="25" t="s">
        <v>25</v>
      </c>
      <c r="B68" s="32"/>
      <c r="C68" s="26"/>
      <c r="D68" s="27" t="s">
        <v>145</v>
      </c>
      <c r="E68" s="29" t="s">
        <v>89</v>
      </c>
      <c r="F68" s="28" t="s">
        <v>86</v>
      </c>
      <c r="G68" s="45">
        <v>11</v>
      </c>
      <c r="H68" s="45">
        <v>0.24</v>
      </c>
      <c r="I68" s="45">
        <v>0.2</v>
      </c>
      <c r="J68" s="15"/>
      <c r="K68" s="15"/>
      <c r="L68" s="15"/>
      <c r="M68" s="15"/>
      <c r="N68" s="15">
        <f t="shared" si="61"/>
        <v>11</v>
      </c>
      <c r="O68" s="15">
        <f t="shared" si="62"/>
        <v>0.24</v>
      </c>
      <c r="P68" s="15"/>
      <c r="Q68" s="15"/>
      <c r="R68" s="15"/>
      <c r="S68" s="15"/>
      <c r="T68" s="45">
        <f>6.2-3.55</f>
        <v>2.6500000000000004</v>
      </c>
      <c r="U68" s="45">
        <f t="shared" ref="U68:U81" si="63">G68*2*I68</f>
        <v>4.4000000000000004</v>
      </c>
      <c r="V68" s="45"/>
      <c r="W68" s="15"/>
      <c r="X68" s="15"/>
      <c r="Y68" s="46">
        <f t="shared" si="45"/>
        <v>2.6399999999999997</v>
      </c>
      <c r="Z68" s="46">
        <f t="shared" si="46"/>
        <v>0.52799999999999991</v>
      </c>
      <c r="AA68" s="46">
        <f t="shared" si="47"/>
        <v>2.6399999999999997</v>
      </c>
      <c r="AB68" s="46">
        <f t="shared" si="48"/>
        <v>4.4000000000000004</v>
      </c>
      <c r="AC68" s="46">
        <f t="shared" si="53"/>
        <v>2.6399999999999997</v>
      </c>
      <c r="AD68" s="15"/>
      <c r="AF68" s="3"/>
    </row>
    <row r="69" spans="1:32" x14ac:dyDescent="0.25">
      <c r="A69" s="25" t="s">
        <v>25</v>
      </c>
      <c r="B69" s="32"/>
      <c r="C69" s="26"/>
      <c r="D69" s="27" t="s">
        <v>146</v>
      </c>
      <c r="E69" s="29" t="s">
        <v>358</v>
      </c>
      <c r="F69" s="28" t="s">
        <v>359</v>
      </c>
      <c r="G69" s="45">
        <v>1.07</v>
      </c>
      <c r="H69" s="45">
        <v>0.24</v>
      </c>
      <c r="I69" s="45">
        <v>0.2</v>
      </c>
      <c r="J69" s="15"/>
      <c r="K69" s="15"/>
      <c r="L69" s="15"/>
      <c r="M69" s="15"/>
      <c r="N69" s="15">
        <f t="shared" si="61"/>
        <v>1.07</v>
      </c>
      <c r="O69" s="15">
        <f t="shared" si="62"/>
        <v>0.24</v>
      </c>
      <c r="P69" s="15"/>
      <c r="Q69" s="15"/>
      <c r="R69" s="15"/>
      <c r="S69" s="15"/>
      <c r="T69" s="45">
        <f>6.2-3.55</f>
        <v>2.6500000000000004</v>
      </c>
      <c r="U69" s="45">
        <f t="shared" si="63"/>
        <v>0.42800000000000005</v>
      </c>
      <c r="V69" s="45"/>
      <c r="W69" s="15"/>
      <c r="X69" s="15"/>
      <c r="Y69" s="46">
        <f t="shared" si="45"/>
        <v>0.25680000000000003</v>
      </c>
      <c r="Z69" s="46">
        <f t="shared" si="46"/>
        <v>5.136000000000001E-2</v>
      </c>
      <c r="AA69" s="46">
        <f t="shared" si="47"/>
        <v>0.25680000000000003</v>
      </c>
      <c r="AB69" s="46">
        <f t="shared" si="48"/>
        <v>0.42800000000000005</v>
      </c>
      <c r="AC69" s="46">
        <f t="shared" si="53"/>
        <v>0.25680000000000003</v>
      </c>
      <c r="AD69" s="15"/>
      <c r="AF69" s="3"/>
    </row>
    <row r="70" spans="1:32" x14ac:dyDescent="0.25">
      <c r="A70" s="25" t="s">
        <v>25</v>
      </c>
      <c r="B70" s="32"/>
      <c r="C70" s="26"/>
      <c r="D70" s="27" t="s">
        <v>147</v>
      </c>
      <c r="E70" s="29" t="s">
        <v>358</v>
      </c>
      <c r="F70" s="28" t="s">
        <v>359</v>
      </c>
      <c r="G70" s="45">
        <v>2.62</v>
      </c>
      <c r="H70" s="45">
        <v>0.24</v>
      </c>
      <c r="I70" s="45">
        <v>0.2</v>
      </c>
      <c r="J70" s="15"/>
      <c r="K70" s="15"/>
      <c r="L70" s="15"/>
      <c r="M70" s="15"/>
      <c r="N70" s="15">
        <f t="shared" si="61"/>
        <v>2.62</v>
      </c>
      <c r="O70" s="15">
        <f t="shared" si="62"/>
        <v>0.24</v>
      </c>
      <c r="P70" s="15"/>
      <c r="Q70" s="15"/>
      <c r="R70" s="15"/>
      <c r="S70" s="15"/>
      <c r="T70" s="45">
        <f>6.25-3.55</f>
        <v>2.7</v>
      </c>
      <c r="U70" s="45">
        <f t="shared" si="63"/>
        <v>1.048</v>
      </c>
      <c r="V70" s="45"/>
      <c r="W70" s="15"/>
      <c r="X70" s="15"/>
      <c r="Y70" s="46">
        <f t="shared" si="45"/>
        <v>0.62880000000000003</v>
      </c>
      <c r="Z70" s="46">
        <f t="shared" si="46"/>
        <v>0.12576000000000001</v>
      </c>
      <c r="AA70" s="46">
        <f t="shared" si="47"/>
        <v>0.62880000000000003</v>
      </c>
      <c r="AB70" s="46">
        <f t="shared" si="48"/>
        <v>1.048</v>
      </c>
      <c r="AC70" s="46">
        <f t="shared" si="53"/>
        <v>0.62880000000000003</v>
      </c>
      <c r="AD70" s="15"/>
      <c r="AF70" s="3"/>
    </row>
    <row r="71" spans="1:32" x14ac:dyDescent="0.25">
      <c r="A71" s="25" t="s">
        <v>25</v>
      </c>
      <c r="B71" s="32"/>
      <c r="C71" s="26"/>
      <c r="D71" s="27" t="s">
        <v>148</v>
      </c>
      <c r="E71" s="29" t="s">
        <v>358</v>
      </c>
      <c r="F71" s="28" t="s">
        <v>359</v>
      </c>
      <c r="G71" s="45">
        <v>2.62</v>
      </c>
      <c r="H71" s="45">
        <v>0.24</v>
      </c>
      <c r="I71" s="45">
        <v>0.2</v>
      </c>
      <c r="J71" s="15"/>
      <c r="K71" s="15"/>
      <c r="L71" s="15"/>
      <c r="M71" s="15"/>
      <c r="N71" s="15">
        <f t="shared" si="61"/>
        <v>2.62</v>
      </c>
      <c r="O71" s="15">
        <f t="shared" si="62"/>
        <v>0.24</v>
      </c>
      <c r="P71" s="15"/>
      <c r="Q71" s="15"/>
      <c r="R71" s="15"/>
      <c r="S71" s="15"/>
      <c r="T71" s="45">
        <f>6.25-3.55</f>
        <v>2.7</v>
      </c>
      <c r="U71" s="45">
        <f t="shared" si="63"/>
        <v>1.048</v>
      </c>
      <c r="V71" s="45"/>
      <c r="W71" s="15"/>
      <c r="X71" s="15"/>
      <c r="Y71" s="46">
        <f t="shared" si="45"/>
        <v>0.62880000000000003</v>
      </c>
      <c r="Z71" s="46">
        <f t="shared" si="46"/>
        <v>0.12576000000000001</v>
      </c>
      <c r="AA71" s="46">
        <f t="shared" si="47"/>
        <v>0.62880000000000003</v>
      </c>
      <c r="AB71" s="46">
        <f t="shared" si="48"/>
        <v>1.048</v>
      </c>
      <c r="AC71" s="46">
        <f t="shared" si="53"/>
        <v>0.62880000000000003</v>
      </c>
      <c r="AD71" s="15"/>
      <c r="AF71" s="3"/>
    </row>
    <row r="72" spans="1:32" x14ac:dyDescent="0.25">
      <c r="A72" s="25" t="s">
        <v>25</v>
      </c>
      <c r="B72" s="32"/>
      <c r="C72" s="26"/>
      <c r="D72" s="27" t="s">
        <v>149</v>
      </c>
      <c r="E72" s="29" t="s">
        <v>358</v>
      </c>
      <c r="F72" s="28" t="s">
        <v>359</v>
      </c>
      <c r="G72" s="45">
        <v>0.96</v>
      </c>
      <c r="H72" s="45">
        <v>0.24</v>
      </c>
      <c r="I72" s="45">
        <v>0.2</v>
      </c>
      <c r="J72" s="15"/>
      <c r="K72" s="15"/>
      <c r="L72" s="15"/>
      <c r="M72" s="15"/>
      <c r="N72" s="15">
        <f t="shared" si="61"/>
        <v>0.96</v>
      </c>
      <c r="O72" s="15">
        <f t="shared" si="62"/>
        <v>0.24</v>
      </c>
      <c r="P72" s="15"/>
      <c r="Q72" s="15"/>
      <c r="R72" s="15"/>
      <c r="S72" s="15"/>
      <c r="T72" s="45">
        <f>6.25-3.55</f>
        <v>2.7</v>
      </c>
      <c r="U72" s="45">
        <f t="shared" si="63"/>
        <v>0.38400000000000001</v>
      </c>
      <c r="V72" s="45"/>
      <c r="W72" s="15"/>
      <c r="X72" s="15"/>
      <c r="Y72" s="46">
        <f t="shared" si="45"/>
        <v>0.23039999999999999</v>
      </c>
      <c r="Z72" s="46">
        <f t="shared" si="46"/>
        <v>4.6080000000000003E-2</v>
      </c>
      <c r="AA72" s="46">
        <f t="shared" si="47"/>
        <v>0.23039999999999999</v>
      </c>
      <c r="AB72" s="46">
        <f t="shared" si="48"/>
        <v>0.38400000000000001</v>
      </c>
      <c r="AC72" s="46">
        <f t="shared" si="53"/>
        <v>0.23039999999999999</v>
      </c>
      <c r="AD72" s="15"/>
      <c r="AF72" s="3"/>
    </row>
    <row r="73" spans="1:32" x14ac:dyDescent="0.25">
      <c r="A73" s="25" t="s">
        <v>25</v>
      </c>
      <c r="B73" s="32"/>
      <c r="C73" s="26"/>
      <c r="D73" s="27" t="s">
        <v>150</v>
      </c>
      <c r="E73" s="29" t="s">
        <v>89</v>
      </c>
      <c r="F73" s="28" t="s">
        <v>86</v>
      </c>
      <c r="G73" s="45">
        <v>3.21</v>
      </c>
      <c r="H73" s="45">
        <v>0.24</v>
      </c>
      <c r="I73" s="45">
        <v>0.2</v>
      </c>
      <c r="J73" s="15"/>
      <c r="K73" s="15"/>
      <c r="L73" s="15"/>
      <c r="M73" s="15"/>
      <c r="N73" s="15">
        <f t="shared" si="61"/>
        <v>3.21</v>
      </c>
      <c r="O73" s="15">
        <f t="shared" si="62"/>
        <v>0.24</v>
      </c>
      <c r="P73" s="15"/>
      <c r="Q73" s="15"/>
      <c r="R73" s="15"/>
      <c r="S73" s="15"/>
      <c r="T73" s="45">
        <f>6.2-3.55</f>
        <v>2.6500000000000004</v>
      </c>
      <c r="U73" s="45">
        <f t="shared" si="63"/>
        <v>1.284</v>
      </c>
      <c r="V73" s="45"/>
      <c r="W73" s="15"/>
      <c r="X73" s="15"/>
      <c r="Y73" s="46">
        <f t="shared" si="45"/>
        <v>0.77039999999999997</v>
      </c>
      <c r="Z73" s="46">
        <f t="shared" si="46"/>
        <v>0.15407999999999999</v>
      </c>
      <c r="AA73" s="46">
        <f t="shared" si="47"/>
        <v>0.77039999999999997</v>
      </c>
      <c r="AB73" s="46">
        <f t="shared" si="48"/>
        <v>1.284</v>
      </c>
      <c r="AC73" s="46">
        <f t="shared" si="53"/>
        <v>0.77039999999999997</v>
      </c>
      <c r="AD73" s="15"/>
      <c r="AF73" s="3"/>
    </row>
    <row r="74" spans="1:32" x14ac:dyDescent="0.25">
      <c r="A74" s="25" t="s">
        <v>25</v>
      </c>
      <c r="B74" s="32"/>
      <c r="C74" s="26"/>
      <c r="D74" s="27" t="s">
        <v>151</v>
      </c>
      <c r="E74" s="29" t="s">
        <v>89</v>
      </c>
      <c r="F74" s="28" t="s">
        <v>86</v>
      </c>
      <c r="G74" s="45">
        <f>1.54*2+0.18</f>
        <v>3.2600000000000002</v>
      </c>
      <c r="H74" s="45">
        <v>0.24</v>
      </c>
      <c r="I74" s="45">
        <v>0.2</v>
      </c>
      <c r="J74" s="15"/>
      <c r="K74" s="15"/>
      <c r="L74" s="15"/>
      <c r="M74" s="15"/>
      <c r="N74" s="15">
        <f t="shared" si="61"/>
        <v>3.2600000000000002</v>
      </c>
      <c r="O74" s="15">
        <f t="shared" si="62"/>
        <v>0.24</v>
      </c>
      <c r="P74" s="15"/>
      <c r="Q74" s="15"/>
      <c r="R74" s="15"/>
      <c r="S74" s="15"/>
      <c r="T74" s="45">
        <f>6.2-3.55</f>
        <v>2.6500000000000004</v>
      </c>
      <c r="U74" s="45">
        <f t="shared" si="63"/>
        <v>1.3040000000000003</v>
      </c>
      <c r="V74" s="45"/>
      <c r="W74" s="15"/>
      <c r="X74" s="15"/>
      <c r="Y74" s="46">
        <f t="shared" si="45"/>
        <v>0.78239999999999998</v>
      </c>
      <c r="Z74" s="46">
        <f t="shared" si="46"/>
        <v>0.15648000000000001</v>
      </c>
      <c r="AA74" s="46">
        <f t="shared" si="47"/>
        <v>0.78239999999999998</v>
      </c>
      <c r="AB74" s="46">
        <f t="shared" si="48"/>
        <v>1.3040000000000003</v>
      </c>
      <c r="AC74" s="46">
        <f t="shared" si="53"/>
        <v>0.78239999999999998</v>
      </c>
      <c r="AD74" s="15"/>
      <c r="AF74" s="3"/>
    </row>
    <row r="75" spans="1:32" x14ac:dyDescent="0.25">
      <c r="A75" s="25" t="s">
        <v>25</v>
      </c>
      <c r="B75" s="32"/>
      <c r="C75" s="26"/>
      <c r="D75" s="27" t="s">
        <v>152</v>
      </c>
      <c r="E75" s="29" t="s">
        <v>358</v>
      </c>
      <c r="F75" s="28" t="s">
        <v>359</v>
      </c>
      <c r="G75" s="45">
        <v>0.6</v>
      </c>
      <c r="H75" s="45">
        <v>0.24</v>
      </c>
      <c r="I75" s="45">
        <v>0.2</v>
      </c>
      <c r="J75" s="15"/>
      <c r="K75" s="15"/>
      <c r="L75" s="15"/>
      <c r="M75" s="15"/>
      <c r="N75" s="15">
        <f t="shared" si="61"/>
        <v>0.6</v>
      </c>
      <c r="O75" s="15">
        <f t="shared" si="62"/>
        <v>0.24</v>
      </c>
      <c r="P75" s="15"/>
      <c r="Q75" s="15"/>
      <c r="R75" s="15"/>
      <c r="S75" s="15"/>
      <c r="T75" s="45">
        <f>6.25-3.55</f>
        <v>2.7</v>
      </c>
      <c r="U75" s="45">
        <f t="shared" si="63"/>
        <v>0.24</v>
      </c>
      <c r="V75" s="45"/>
      <c r="W75" s="15"/>
      <c r="X75" s="15"/>
      <c r="Y75" s="46">
        <f t="shared" si="45"/>
        <v>0.14399999999999999</v>
      </c>
      <c r="Z75" s="46">
        <f t="shared" si="46"/>
        <v>2.8799999999999999E-2</v>
      </c>
      <c r="AA75" s="46">
        <f t="shared" si="47"/>
        <v>0.14399999999999999</v>
      </c>
      <c r="AB75" s="46">
        <f t="shared" si="48"/>
        <v>0.24</v>
      </c>
      <c r="AC75" s="46">
        <f t="shared" si="53"/>
        <v>0.14399999999999999</v>
      </c>
      <c r="AD75" s="15"/>
      <c r="AF75" s="3"/>
    </row>
    <row r="76" spans="1:32" x14ac:dyDescent="0.25">
      <c r="A76" s="25" t="s">
        <v>25</v>
      </c>
      <c r="B76" s="32"/>
      <c r="C76" s="26"/>
      <c r="D76" s="27" t="s">
        <v>153</v>
      </c>
      <c r="E76" s="29" t="s">
        <v>89</v>
      </c>
      <c r="F76" s="28" t="s">
        <v>86</v>
      </c>
      <c r="G76" s="45">
        <v>8.8000000000000007</v>
      </c>
      <c r="H76" s="45">
        <v>0.24</v>
      </c>
      <c r="I76" s="45">
        <v>0.2</v>
      </c>
      <c r="J76" s="15"/>
      <c r="K76" s="15"/>
      <c r="L76" s="15"/>
      <c r="M76" s="15"/>
      <c r="N76" s="15">
        <f t="shared" si="61"/>
        <v>8.8000000000000007</v>
      </c>
      <c r="O76" s="15">
        <f t="shared" si="62"/>
        <v>0.24</v>
      </c>
      <c r="P76" s="15"/>
      <c r="Q76" s="15"/>
      <c r="R76" s="15"/>
      <c r="S76" s="15"/>
      <c r="T76" s="45">
        <f>6.2-3.55</f>
        <v>2.6500000000000004</v>
      </c>
      <c r="U76" s="45">
        <f t="shared" si="63"/>
        <v>3.5200000000000005</v>
      </c>
      <c r="V76" s="45"/>
      <c r="W76" s="15"/>
      <c r="X76" s="15"/>
      <c r="Y76" s="46">
        <f t="shared" si="45"/>
        <v>2.1120000000000001</v>
      </c>
      <c r="Z76" s="46">
        <f t="shared" si="46"/>
        <v>0.42240000000000005</v>
      </c>
      <c r="AA76" s="46">
        <f t="shared" si="47"/>
        <v>2.1120000000000001</v>
      </c>
      <c r="AB76" s="46">
        <f t="shared" si="48"/>
        <v>3.5200000000000005</v>
      </c>
      <c r="AC76" s="46">
        <f t="shared" si="53"/>
        <v>2.1120000000000001</v>
      </c>
      <c r="AD76" s="15"/>
      <c r="AF76" s="3"/>
    </row>
    <row r="77" spans="1:32" x14ac:dyDescent="0.25">
      <c r="A77" s="25" t="s">
        <v>25</v>
      </c>
      <c r="B77" s="32"/>
      <c r="C77" s="26"/>
      <c r="D77" s="27" t="s">
        <v>154</v>
      </c>
      <c r="E77" s="29" t="s">
        <v>89</v>
      </c>
      <c r="F77" s="28" t="s">
        <v>86</v>
      </c>
      <c r="G77" s="45">
        <v>4.2050000000000001</v>
      </c>
      <c r="H77" s="45">
        <v>0.24</v>
      </c>
      <c r="I77" s="45">
        <v>0.2</v>
      </c>
      <c r="J77" s="15"/>
      <c r="K77" s="15"/>
      <c r="L77" s="15"/>
      <c r="M77" s="15"/>
      <c r="N77" s="15">
        <f t="shared" si="61"/>
        <v>4.2050000000000001</v>
      </c>
      <c r="O77" s="15">
        <f t="shared" si="62"/>
        <v>0.24</v>
      </c>
      <c r="P77" s="15"/>
      <c r="Q77" s="15"/>
      <c r="R77" s="15"/>
      <c r="S77" s="15"/>
      <c r="T77" s="45">
        <f>6.2-3.55</f>
        <v>2.6500000000000004</v>
      </c>
      <c r="U77" s="45">
        <f t="shared" si="63"/>
        <v>1.6820000000000002</v>
      </c>
      <c r="V77" s="45"/>
      <c r="W77" s="15"/>
      <c r="X77" s="15"/>
      <c r="Y77" s="46">
        <f t="shared" si="45"/>
        <v>1.0091999999999999</v>
      </c>
      <c r="Z77" s="46">
        <f t="shared" si="46"/>
        <v>0.20183999999999999</v>
      </c>
      <c r="AA77" s="46">
        <f t="shared" si="47"/>
        <v>1.0091999999999999</v>
      </c>
      <c r="AB77" s="46">
        <f t="shared" si="48"/>
        <v>1.6820000000000002</v>
      </c>
      <c r="AC77" s="46">
        <f t="shared" si="53"/>
        <v>1.0091999999999999</v>
      </c>
      <c r="AD77" s="15"/>
      <c r="AF77" s="3"/>
    </row>
    <row r="78" spans="1:32" x14ac:dyDescent="0.25">
      <c r="A78" s="25" t="s">
        <v>25</v>
      </c>
      <c r="B78" s="32"/>
      <c r="C78" s="26"/>
      <c r="D78" s="27" t="s">
        <v>162</v>
      </c>
      <c r="E78" s="29" t="s">
        <v>89</v>
      </c>
      <c r="F78" s="28" t="s">
        <v>86</v>
      </c>
      <c r="G78" s="45">
        <v>5.56</v>
      </c>
      <c r="H78" s="45">
        <v>0.2</v>
      </c>
      <c r="I78" s="45">
        <v>0.2</v>
      </c>
      <c r="J78" s="15"/>
      <c r="K78" s="15"/>
      <c r="L78" s="15"/>
      <c r="M78" s="15"/>
      <c r="N78" s="15">
        <f t="shared" si="61"/>
        <v>5.56</v>
      </c>
      <c r="O78" s="15">
        <f t="shared" si="62"/>
        <v>0.2</v>
      </c>
      <c r="P78" s="15"/>
      <c r="Q78" s="15"/>
      <c r="R78" s="15"/>
      <c r="S78" s="15"/>
      <c r="T78" s="45">
        <f>6.2-3.55</f>
        <v>2.6500000000000004</v>
      </c>
      <c r="U78" s="45">
        <f t="shared" si="63"/>
        <v>2.2239999999999998</v>
      </c>
      <c r="V78" s="45"/>
      <c r="W78" s="15"/>
      <c r="X78" s="15"/>
      <c r="Y78" s="46">
        <f t="shared" si="45"/>
        <v>1.1119999999999999</v>
      </c>
      <c r="Z78" s="46">
        <f t="shared" si="46"/>
        <v>0.22239999999999999</v>
      </c>
      <c r="AA78" s="46">
        <f t="shared" si="47"/>
        <v>1.1119999999999999</v>
      </c>
      <c r="AB78" s="46">
        <f t="shared" si="48"/>
        <v>2.2239999999999998</v>
      </c>
      <c r="AC78" s="46">
        <f t="shared" si="53"/>
        <v>1.1119999999999999</v>
      </c>
      <c r="AD78" s="15"/>
      <c r="AF78" s="3"/>
    </row>
    <row r="79" spans="1:32" x14ac:dyDescent="0.25">
      <c r="A79" s="25" t="s">
        <v>25</v>
      </c>
      <c r="B79" s="32"/>
      <c r="C79" s="26"/>
      <c r="D79" s="27" t="s">
        <v>163</v>
      </c>
      <c r="E79" s="29" t="s">
        <v>89</v>
      </c>
      <c r="F79" s="28" t="s">
        <v>86</v>
      </c>
      <c r="G79" s="45">
        <v>9.5500000000000007</v>
      </c>
      <c r="H79" s="45">
        <v>0.2</v>
      </c>
      <c r="I79" s="45">
        <v>0.2</v>
      </c>
      <c r="J79" s="15"/>
      <c r="K79" s="15"/>
      <c r="L79" s="15"/>
      <c r="M79" s="15"/>
      <c r="N79" s="15">
        <f t="shared" si="61"/>
        <v>9.5500000000000007</v>
      </c>
      <c r="O79" s="15">
        <f t="shared" si="62"/>
        <v>0.2</v>
      </c>
      <c r="P79" s="15"/>
      <c r="Q79" s="15"/>
      <c r="R79" s="15"/>
      <c r="S79" s="15"/>
      <c r="T79" s="45">
        <f>6.2-3.55</f>
        <v>2.6500000000000004</v>
      </c>
      <c r="U79" s="45">
        <f t="shared" si="63"/>
        <v>3.8200000000000003</v>
      </c>
      <c r="V79" s="45"/>
      <c r="W79" s="15"/>
      <c r="X79" s="15"/>
      <c r="Y79" s="46">
        <f t="shared" si="45"/>
        <v>1.9100000000000001</v>
      </c>
      <c r="Z79" s="46">
        <f t="shared" si="46"/>
        <v>0.38200000000000006</v>
      </c>
      <c r="AA79" s="46">
        <f t="shared" si="47"/>
        <v>1.9100000000000001</v>
      </c>
      <c r="AB79" s="46">
        <f t="shared" si="48"/>
        <v>3.8200000000000003</v>
      </c>
      <c r="AC79" s="46">
        <f t="shared" si="53"/>
        <v>1.9100000000000001</v>
      </c>
      <c r="AD79" s="15"/>
      <c r="AF79" s="3"/>
    </row>
    <row r="80" spans="1:32" x14ac:dyDescent="0.25">
      <c r="A80" s="25" t="s">
        <v>25</v>
      </c>
      <c r="B80" s="32"/>
      <c r="C80" s="26"/>
      <c r="D80" s="27" t="s">
        <v>164</v>
      </c>
      <c r="E80" s="29" t="s">
        <v>89</v>
      </c>
      <c r="F80" s="28" t="s">
        <v>86</v>
      </c>
      <c r="G80" s="45">
        <v>3.3</v>
      </c>
      <c r="H80" s="45">
        <v>0.24</v>
      </c>
      <c r="I80" s="45">
        <v>0.2</v>
      </c>
      <c r="J80" s="15"/>
      <c r="K80" s="15"/>
      <c r="L80" s="15"/>
      <c r="M80" s="15"/>
      <c r="N80" s="15">
        <f t="shared" si="61"/>
        <v>3.3</v>
      </c>
      <c r="O80" s="15">
        <f t="shared" si="62"/>
        <v>0.24</v>
      </c>
      <c r="P80" s="15"/>
      <c r="Q80" s="15"/>
      <c r="R80" s="15"/>
      <c r="S80" s="15"/>
      <c r="T80" s="45">
        <f>6.2-3.55</f>
        <v>2.6500000000000004</v>
      </c>
      <c r="U80" s="45">
        <f t="shared" si="63"/>
        <v>1.32</v>
      </c>
      <c r="V80" s="45"/>
      <c r="W80" s="15"/>
      <c r="X80" s="15"/>
      <c r="Y80" s="46">
        <f t="shared" si="45"/>
        <v>0.79199999999999993</v>
      </c>
      <c r="Z80" s="46">
        <f t="shared" si="46"/>
        <v>0.15839999999999999</v>
      </c>
      <c r="AA80" s="46">
        <f t="shared" si="47"/>
        <v>0.79199999999999993</v>
      </c>
      <c r="AB80" s="46">
        <f t="shared" si="48"/>
        <v>1.32</v>
      </c>
      <c r="AC80" s="46">
        <f t="shared" si="53"/>
        <v>0.79199999999999993</v>
      </c>
      <c r="AD80" s="15"/>
      <c r="AF80" s="3"/>
    </row>
    <row r="81" spans="1:32" x14ac:dyDescent="0.25">
      <c r="A81" s="25" t="s">
        <v>25</v>
      </c>
      <c r="B81" s="32"/>
      <c r="C81" s="26"/>
      <c r="D81" s="27" t="s">
        <v>165</v>
      </c>
      <c r="E81" s="29" t="s">
        <v>358</v>
      </c>
      <c r="F81" s="28" t="s">
        <v>359</v>
      </c>
      <c r="G81" s="45">
        <f>2.12</f>
        <v>2.12</v>
      </c>
      <c r="H81" s="45">
        <v>0.24</v>
      </c>
      <c r="I81" s="45">
        <v>0.2</v>
      </c>
      <c r="J81" s="15"/>
      <c r="K81" s="15"/>
      <c r="L81" s="15"/>
      <c r="M81" s="15"/>
      <c r="N81" s="15">
        <f t="shared" si="61"/>
        <v>2.12</v>
      </c>
      <c r="O81" s="15">
        <f t="shared" si="62"/>
        <v>0.24</v>
      </c>
      <c r="P81" s="15"/>
      <c r="Q81" s="15"/>
      <c r="R81" s="15"/>
      <c r="S81" s="15"/>
      <c r="T81" s="45">
        <f>6.25-3.55</f>
        <v>2.7</v>
      </c>
      <c r="U81" s="45">
        <f t="shared" si="63"/>
        <v>0.84800000000000009</v>
      </c>
      <c r="V81" s="45"/>
      <c r="W81" s="15"/>
      <c r="X81" s="15"/>
      <c r="Y81" s="46">
        <f t="shared" si="45"/>
        <v>0.50880000000000003</v>
      </c>
      <c r="Z81" s="46">
        <f t="shared" si="46"/>
        <v>0.10176000000000002</v>
      </c>
      <c r="AA81" s="46">
        <f t="shared" si="47"/>
        <v>0.50880000000000003</v>
      </c>
      <c r="AB81" s="46">
        <f t="shared" si="48"/>
        <v>0.84800000000000009</v>
      </c>
      <c r="AC81" s="46">
        <f t="shared" si="53"/>
        <v>0.50880000000000003</v>
      </c>
      <c r="AD81" s="15"/>
      <c r="AF81" s="3"/>
    </row>
    <row r="82" spans="1:32" x14ac:dyDescent="0.25">
      <c r="A82" s="25" t="s">
        <v>25</v>
      </c>
      <c r="B82" s="32"/>
      <c r="C82" s="26"/>
      <c r="D82" s="27" t="s">
        <v>166</v>
      </c>
      <c r="E82" s="29" t="s">
        <v>358</v>
      </c>
      <c r="F82" s="28" t="s">
        <v>359</v>
      </c>
      <c r="G82" s="45">
        <f t="shared" ref="G82:G85" si="64">2.12</f>
        <v>2.12</v>
      </c>
      <c r="H82" s="45">
        <v>0.24</v>
      </c>
      <c r="I82" s="45">
        <v>0.2</v>
      </c>
      <c r="J82" s="15"/>
      <c r="K82" s="15"/>
      <c r="L82" s="15"/>
      <c r="M82" s="15"/>
      <c r="N82" s="15">
        <f t="shared" ref="N82:N83" si="65">G82</f>
        <v>2.12</v>
      </c>
      <c r="O82" s="15">
        <f t="shared" ref="O82:O83" si="66">H82</f>
        <v>0.24</v>
      </c>
      <c r="P82" s="15"/>
      <c r="Q82" s="15"/>
      <c r="R82" s="15"/>
      <c r="S82" s="15"/>
      <c r="T82" s="45">
        <f t="shared" ref="T82:T85" si="67">6.25-3.55</f>
        <v>2.7</v>
      </c>
      <c r="U82" s="45">
        <f t="shared" ref="U82:U83" si="68">G82*2*I82</f>
        <v>0.84800000000000009</v>
      </c>
      <c r="V82" s="45"/>
      <c r="W82" s="15"/>
      <c r="X82" s="15"/>
      <c r="Y82" s="46">
        <f t="shared" si="45"/>
        <v>0.50880000000000003</v>
      </c>
      <c r="Z82" s="46">
        <f t="shared" si="46"/>
        <v>0.10176000000000002</v>
      </c>
      <c r="AA82" s="46">
        <f t="shared" si="47"/>
        <v>0.50880000000000003</v>
      </c>
      <c r="AB82" s="46">
        <f t="shared" si="48"/>
        <v>0.84800000000000009</v>
      </c>
      <c r="AC82" s="46">
        <f t="shared" si="53"/>
        <v>0.50880000000000003</v>
      </c>
      <c r="AD82" s="15"/>
      <c r="AF82" s="3"/>
    </row>
    <row r="83" spans="1:32" x14ac:dyDescent="0.25">
      <c r="A83" s="25" t="s">
        <v>25</v>
      </c>
      <c r="B83" s="32"/>
      <c r="C83" s="26"/>
      <c r="D83" s="27" t="s">
        <v>167</v>
      </c>
      <c r="E83" s="29" t="s">
        <v>358</v>
      </c>
      <c r="F83" s="28" t="s">
        <v>359</v>
      </c>
      <c r="G83" s="45">
        <f t="shared" si="64"/>
        <v>2.12</v>
      </c>
      <c r="H83" s="45">
        <v>0.24</v>
      </c>
      <c r="I83" s="45">
        <v>0.2</v>
      </c>
      <c r="J83" s="15"/>
      <c r="K83" s="15"/>
      <c r="L83" s="15"/>
      <c r="M83" s="15"/>
      <c r="N83" s="15">
        <f t="shared" si="65"/>
        <v>2.12</v>
      </c>
      <c r="O83" s="15">
        <f t="shared" si="66"/>
        <v>0.24</v>
      </c>
      <c r="P83" s="15"/>
      <c r="Q83" s="15"/>
      <c r="R83" s="15"/>
      <c r="S83" s="15"/>
      <c r="T83" s="45">
        <f t="shared" si="67"/>
        <v>2.7</v>
      </c>
      <c r="U83" s="45">
        <f t="shared" si="68"/>
        <v>0.84800000000000009</v>
      </c>
      <c r="V83" s="45"/>
      <c r="W83" s="15"/>
      <c r="X83" s="15"/>
      <c r="Y83" s="46">
        <f t="shared" si="45"/>
        <v>0.50880000000000003</v>
      </c>
      <c r="Z83" s="46">
        <f t="shared" si="46"/>
        <v>0.10176000000000002</v>
      </c>
      <c r="AA83" s="46">
        <f t="shared" si="47"/>
        <v>0.50880000000000003</v>
      </c>
      <c r="AB83" s="46">
        <f t="shared" si="48"/>
        <v>0.84800000000000009</v>
      </c>
      <c r="AC83" s="46">
        <f t="shared" si="53"/>
        <v>0.50880000000000003</v>
      </c>
      <c r="AD83" s="15"/>
      <c r="AF83" s="3"/>
    </row>
    <row r="84" spans="1:32" x14ac:dyDescent="0.25">
      <c r="A84" s="25" t="s">
        <v>25</v>
      </c>
      <c r="B84" s="32"/>
      <c r="C84" s="26"/>
      <c r="D84" s="27" t="s">
        <v>168</v>
      </c>
      <c r="E84" s="29" t="s">
        <v>358</v>
      </c>
      <c r="F84" s="28" t="s">
        <v>359</v>
      </c>
      <c r="G84" s="45">
        <f>0.62</f>
        <v>0.62</v>
      </c>
      <c r="H84" s="45">
        <v>0.24</v>
      </c>
      <c r="I84" s="45">
        <v>0.2</v>
      </c>
      <c r="J84" s="15"/>
      <c r="K84" s="15"/>
      <c r="L84" s="15"/>
      <c r="M84" s="15"/>
      <c r="N84" s="15">
        <f>G84</f>
        <v>0.62</v>
      </c>
      <c r="O84" s="15">
        <f>H84</f>
        <v>0.24</v>
      </c>
      <c r="P84" s="15"/>
      <c r="Q84" s="15"/>
      <c r="R84" s="15"/>
      <c r="S84" s="15"/>
      <c r="T84" s="45">
        <f>6.25-3.55</f>
        <v>2.7</v>
      </c>
      <c r="U84" s="45">
        <f>G84*2*I84</f>
        <v>0.248</v>
      </c>
      <c r="V84" s="45"/>
      <c r="W84" s="15"/>
      <c r="X84" s="15"/>
      <c r="Y84" s="46">
        <f t="shared" si="45"/>
        <v>0.14879999999999999</v>
      </c>
      <c r="Z84" s="46">
        <f t="shared" si="46"/>
        <v>2.9759999999999998E-2</v>
      </c>
      <c r="AA84" s="46">
        <f t="shared" si="47"/>
        <v>0.14879999999999999</v>
      </c>
      <c r="AB84" s="46">
        <f t="shared" si="48"/>
        <v>0.248</v>
      </c>
      <c r="AC84" s="46">
        <f t="shared" si="53"/>
        <v>0.14879999999999999</v>
      </c>
      <c r="AD84" s="15"/>
      <c r="AF84" s="3"/>
    </row>
    <row r="85" spans="1:32" x14ac:dyDescent="0.25">
      <c r="A85" s="25" t="s">
        <v>25</v>
      </c>
      <c r="B85" s="32"/>
      <c r="C85" s="26"/>
      <c r="D85" s="27" t="s">
        <v>169</v>
      </c>
      <c r="E85" s="29" t="s">
        <v>358</v>
      </c>
      <c r="F85" s="28" t="s">
        <v>359</v>
      </c>
      <c r="G85" s="45">
        <f t="shared" si="64"/>
        <v>2.12</v>
      </c>
      <c r="H85" s="45">
        <v>0.24</v>
      </c>
      <c r="I85" s="45">
        <v>0.2</v>
      </c>
      <c r="J85" s="15"/>
      <c r="K85" s="15"/>
      <c r="L85" s="15"/>
      <c r="M85" s="15"/>
      <c r="N85" s="15">
        <f t="shared" ref="N85" si="69">G85</f>
        <v>2.12</v>
      </c>
      <c r="O85" s="15">
        <f t="shared" ref="O85" si="70">H85</f>
        <v>0.24</v>
      </c>
      <c r="P85" s="15"/>
      <c r="Q85" s="15"/>
      <c r="R85" s="15"/>
      <c r="S85" s="15"/>
      <c r="T85" s="45">
        <f t="shared" si="67"/>
        <v>2.7</v>
      </c>
      <c r="U85" s="45">
        <f t="shared" ref="U85" si="71">G85*2*I85</f>
        <v>0.84800000000000009</v>
      </c>
      <c r="V85" s="45"/>
      <c r="W85" s="15"/>
      <c r="X85" s="15"/>
      <c r="Y85" s="46">
        <f t="shared" si="45"/>
        <v>0.50880000000000003</v>
      </c>
      <c r="Z85" s="46">
        <f t="shared" si="46"/>
        <v>0.10176000000000002</v>
      </c>
      <c r="AA85" s="46">
        <f t="shared" si="47"/>
        <v>0.50880000000000003</v>
      </c>
      <c r="AB85" s="46">
        <f t="shared" si="48"/>
        <v>0.84800000000000009</v>
      </c>
      <c r="AC85" s="46">
        <f t="shared" si="53"/>
        <v>0.50880000000000003</v>
      </c>
      <c r="AD85" s="15"/>
      <c r="AF85" s="3"/>
    </row>
    <row r="86" spans="1:32" x14ac:dyDescent="0.25">
      <c r="A86" s="25" t="s">
        <v>25</v>
      </c>
      <c r="B86" s="32"/>
      <c r="C86" s="26"/>
      <c r="D86" s="27" t="s">
        <v>171</v>
      </c>
      <c r="E86" s="29" t="s">
        <v>358</v>
      </c>
      <c r="F86" s="28" t="s">
        <v>359</v>
      </c>
      <c r="G86" s="45">
        <f>0.62</f>
        <v>0.62</v>
      </c>
      <c r="H86" s="45">
        <v>0.24</v>
      </c>
      <c r="I86" s="45">
        <v>0.2</v>
      </c>
      <c r="J86" s="15"/>
      <c r="K86" s="15"/>
      <c r="L86" s="15"/>
      <c r="M86" s="15"/>
      <c r="N86" s="15">
        <f>G86</f>
        <v>0.62</v>
      </c>
      <c r="O86" s="15">
        <f>H86</f>
        <v>0.24</v>
      </c>
      <c r="P86" s="15"/>
      <c r="Q86" s="15"/>
      <c r="R86" s="15"/>
      <c r="S86" s="15"/>
      <c r="T86" s="45">
        <f>6.25-3.55</f>
        <v>2.7</v>
      </c>
      <c r="U86" s="45">
        <f>G86*2*I86</f>
        <v>0.248</v>
      </c>
      <c r="V86" s="45"/>
      <c r="W86" s="15"/>
      <c r="X86" s="15"/>
      <c r="Y86" s="46">
        <f t="shared" si="45"/>
        <v>0.14879999999999999</v>
      </c>
      <c r="Z86" s="46">
        <f t="shared" si="46"/>
        <v>2.9759999999999998E-2</v>
      </c>
      <c r="AA86" s="46">
        <f t="shared" si="47"/>
        <v>0.14879999999999999</v>
      </c>
      <c r="AB86" s="46">
        <f t="shared" si="48"/>
        <v>0.248</v>
      </c>
      <c r="AC86" s="46">
        <f t="shared" si="53"/>
        <v>0.14879999999999999</v>
      </c>
      <c r="AD86" s="15"/>
      <c r="AF86" s="3"/>
    </row>
    <row r="87" spans="1:32" x14ac:dyDescent="0.25">
      <c r="A87" s="25" t="s">
        <v>25</v>
      </c>
      <c r="B87" s="32"/>
      <c r="C87" s="26"/>
      <c r="D87" s="27" t="s">
        <v>172</v>
      </c>
      <c r="E87" s="29" t="s">
        <v>358</v>
      </c>
      <c r="F87" s="28" t="s">
        <v>359</v>
      </c>
      <c r="G87" s="45">
        <v>2.52</v>
      </c>
      <c r="H87" s="45">
        <v>0.24</v>
      </c>
      <c r="I87" s="45">
        <v>0.2</v>
      </c>
      <c r="J87" s="15"/>
      <c r="K87" s="15"/>
      <c r="L87" s="15"/>
      <c r="M87" s="15"/>
      <c r="N87" s="15">
        <f>G87</f>
        <v>2.52</v>
      </c>
      <c r="O87" s="15">
        <f>H87</f>
        <v>0.24</v>
      </c>
      <c r="P87" s="15"/>
      <c r="Q87" s="15"/>
      <c r="R87" s="15"/>
      <c r="S87" s="15"/>
      <c r="T87" s="45">
        <f>6.25-3.55</f>
        <v>2.7</v>
      </c>
      <c r="U87" s="45">
        <f>G87*2*I87</f>
        <v>1.008</v>
      </c>
      <c r="V87" s="45"/>
      <c r="W87" s="15"/>
      <c r="X87" s="15"/>
      <c r="Y87" s="46">
        <f t="shared" si="45"/>
        <v>0.6048</v>
      </c>
      <c r="Z87" s="46">
        <f t="shared" si="46"/>
        <v>0.12096000000000001</v>
      </c>
      <c r="AA87" s="46">
        <f t="shared" si="47"/>
        <v>0.6048</v>
      </c>
      <c r="AB87" s="46">
        <f t="shared" si="48"/>
        <v>1.008</v>
      </c>
      <c r="AC87" s="46">
        <f t="shared" si="53"/>
        <v>0.6048</v>
      </c>
      <c r="AD87" s="15"/>
      <c r="AF87" s="3"/>
    </row>
    <row r="88" spans="1:32" x14ac:dyDescent="0.25">
      <c r="A88" s="25" t="s">
        <v>25</v>
      </c>
      <c r="B88" s="32"/>
      <c r="C88" s="26"/>
      <c r="D88" s="27" t="s">
        <v>173</v>
      </c>
      <c r="E88" s="29" t="s">
        <v>358</v>
      </c>
      <c r="F88" s="28" t="s">
        <v>359</v>
      </c>
      <c r="G88" s="45">
        <f t="shared" ref="G88:G89" si="72">2.12</f>
        <v>2.12</v>
      </c>
      <c r="H88" s="45">
        <v>0.24</v>
      </c>
      <c r="I88" s="45">
        <v>0.2</v>
      </c>
      <c r="J88" s="15"/>
      <c r="K88" s="15"/>
      <c r="L88" s="15"/>
      <c r="M88" s="15"/>
      <c r="N88" s="15">
        <f t="shared" ref="N88" si="73">G88</f>
        <v>2.12</v>
      </c>
      <c r="O88" s="15">
        <f t="shared" ref="O88" si="74">H88</f>
        <v>0.24</v>
      </c>
      <c r="P88" s="15"/>
      <c r="Q88" s="15"/>
      <c r="R88" s="15"/>
      <c r="S88" s="15"/>
      <c r="T88" s="45">
        <f t="shared" ref="T88" si="75">6.25-3.55</f>
        <v>2.7</v>
      </c>
      <c r="U88" s="45">
        <f t="shared" ref="U88" si="76">G88*2*I88</f>
        <v>0.84800000000000009</v>
      </c>
      <c r="V88" s="45"/>
      <c r="W88" s="15"/>
      <c r="X88" s="15"/>
      <c r="Y88" s="46">
        <f t="shared" si="45"/>
        <v>0.50880000000000003</v>
      </c>
      <c r="Z88" s="46">
        <f t="shared" si="46"/>
        <v>0.10176000000000002</v>
      </c>
      <c r="AA88" s="46">
        <f t="shared" si="47"/>
        <v>0.50880000000000003</v>
      </c>
      <c r="AB88" s="46">
        <f t="shared" si="48"/>
        <v>0.84800000000000009</v>
      </c>
      <c r="AC88" s="46">
        <f t="shared" si="53"/>
        <v>0.50880000000000003</v>
      </c>
      <c r="AD88" s="15"/>
      <c r="AF88" s="3"/>
    </row>
    <row r="89" spans="1:32" x14ac:dyDescent="0.25">
      <c r="A89" s="25" t="s">
        <v>25</v>
      </c>
      <c r="B89" s="32"/>
      <c r="C89" s="26"/>
      <c r="D89" s="27" t="s">
        <v>174</v>
      </c>
      <c r="E89" s="29" t="s">
        <v>358</v>
      </c>
      <c r="F89" s="28" t="s">
        <v>359</v>
      </c>
      <c r="G89" s="45">
        <f t="shared" si="72"/>
        <v>2.12</v>
      </c>
      <c r="H89" s="45">
        <v>0.24</v>
      </c>
      <c r="I89" s="45">
        <v>0.2</v>
      </c>
      <c r="J89" s="15"/>
      <c r="K89" s="15"/>
      <c r="L89" s="15"/>
      <c r="M89" s="15"/>
      <c r="N89" s="15">
        <f t="shared" ref="N89" si="77">G89</f>
        <v>2.12</v>
      </c>
      <c r="O89" s="15">
        <f t="shared" ref="O89" si="78">H89</f>
        <v>0.24</v>
      </c>
      <c r="P89" s="15"/>
      <c r="Q89" s="15"/>
      <c r="R89" s="15"/>
      <c r="S89" s="15"/>
      <c r="T89" s="45">
        <f>6.25-3.5</f>
        <v>2.75</v>
      </c>
      <c r="U89" s="45">
        <f t="shared" ref="U89" si="79">G89*2*I89</f>
        <v>0.84800000000000009</v>
      </c>
      <c r="V89" s="45"/>
      <c r="W89" s="15"/>
      <c r="X89" s="15"/>
      <c r="Y89" s="46">
        <f t="shared" si="45"/>
        <v>0.50880000000000003</v>
      </c>
      <c r="Z89" s="46">
        <f t="shared" si="46"/>
        <v>0.10176000000000002</v>
      </c>
      <c r="AA89" s="46">
        <f t="shared" si="47"/>
        <v>0.50880000000000003</v>
      </c>
      <c r="AB89" s="46">
        <f t="shared" si="48"/>
        <v>0.84800000000000009</v>
      </c>
      <c r="AC89" s="46">
        <f t="shared" si="53"/>
        <v>0.50880000000000003</v>
      </c>
      <c r="AD89" s="15"/>
      <c r="AF89" s="3"/>
    </row>
    <row r="90" spans="1:32" x14ac:dyDescent="0.25">
      <c r="A90" s="25" t="s">
        <v>25</v>
      </c>
      <c r="B90" s="32"/>
      <c r="C90" s="26"/>
      <c r="D90" s="27" t="s">
        <v>175</v>
      </c>
      <c r="E90" s="29" t="s">
        <v>358</v>
      </c>
      <c r="F90" s="28" t="s">
        <v>359</v>
      </c>
      <c r="G90" s="45">
        <v>2.52</v>
      </c>
      <c r="H90" s="45">
        <v>0.24</v>
      </c>
      <c r="I90" s="45">
        <v>0.2</v>
      </c>
      <c r="J90" s="15"/>
      <c r="K90" s="15"/>
      <c r="L90" s="15"/>
      <c r="M90" s="15"/>
      <c r="N90" s="15">
        <f t="shared" ref="N90" si="80">G90</f>
        <v>2.52</v>
      </c>
      <c r="O90" s="15">
        <f t="shared" ref="O90" si="81">H90</f>
        <v>0.24</v>
      </c>
      <c r="P90" s="15"/>
      <c r="Q90" s="15"/>
      <c r="R90" s="15"/>
      <c r="S90" s="15"/>
      <c r="T90" s="45">
        <f>6.25-3.5</f>
        <v>2.75</v>
      </c>
      <c r="U90" s="45">
        <f t="shared" ref="U90" si="82">G90*2*I90</f>
        <v>1.008</v>
      </c>
      <c r="V90" s="45"/>
      <c r="W90" s="15"/>
      <c r="X90" s="15"/>
      <c r="Y90" s="46">
        <f t="shared" si="45"/>
        <v>0.6048</v>
      </c>
      <c r="Z90" s="46">
        <f t="shared" si="46"/>
        <v>0.12096000000000001</v>
      </c>
      <c r="AA90" s="46">
        <f t="shared" si="47"/>
        <v>0.6048</v>
      </c>
      <c r="AB90" s="46">
        <f t="shared" si="48"/>
        <v>1.008</v>
      </c>
      <c r="AC90" s="46">
        <f t="shared" si="53"/>
        <v>0.6048</v>
      </c>
      <c r="AD90" s="15"/>
      <c r="AF90" s="3"/>
    </row>
    <row r="91" spans="1:32" x14ac:dyDescent="0.25">
      <c r="A91" s="25" t="s">
        <v>25</v>
      </c>
      <c r="B91" s="32"/>
      <c r="C91" s="26"/>
      <c r="D91" s="27" t="s">
        <v>176</v>
      </c>
      <c r="E91" s="29" t="s">
        <v>358</v>
      </c>
      <c r="F91" s="28" t="s">
        <v>359</v>
      </c>
      <c r="G91" s="45">
        <v>0.62</v>
      </c>
      <c r="H91" s="45">
        <v>0.24</v>
      </c>
      <c r="I91" s="45">
        <v>0.2</v>
      </c>
      <c r="J91" s="15"/>
      <c r="K91" s="15"/>
      <c r="L91" s="15"/>
      <c r="M91" s="15"/>
      <c r="N91" s="15">
        <f t="shared" ref="N91" si="83">G91</f>
        <v>0.62</v>
      </c>
      <c r="O91" s="15">
        <f t="shared" ref="O91" si="84">H91</f>
        <v>0.24</v>
      </c>
      <c r="P91" s="15"/>
      <c r="Q91" s="15"/>
      <c r="R91" s="15"/>
      <c r="S91" s="15"/>
      <c r="T91" s="45">
        <f>6.25-3.5</f>
        <v>2.75</v>
      </c>
      <c r="U91" s="45">
        <f t="shared" ref="U91" si="85">G91*2*I91</f>
        <v>0.248</v>
      </c>
      <c r="V91" s="45"/>
      <c r="W91" s="15"/>
      <c r="X91" s="15"/>
      <c r="Y91" s="46">
        <f t="shared" si="45"/>
        <v>0.14879999999999999</v>
      </c>
      <c r="Z91" s="46">
        <f t="shared" si="46"/>
        <v>2.9759999999999998E-2</v>
      </c>
      <c r="AA91" s="46">
        <f t="shared" si="47"/>
        <v>0.14879999999999999</v>
      </c>
      <c r="AB91" s="46">
        <f t="shared" si="48"/>
        <v>0.248</v>
      </c>
      <c r="AC91" s="46">
        <f t="shared" si="53"/>
        <v>0.14879999999999999</v>
      </c>
      <c r="AD91" s="15"/>
      <c r="AF91" s="3"/>
    </row>
    <row r="92" spans="1:32" x14ac:dyDescent="0.25">
      <c r="A92" s="25" t="s">
        <v>25</v>
      </c>
      <c r="B92" s="32"/>
      <c r="C92" s="26"/>
      <c r="D92" s="27" t="s">
        <v>177</v>
      </c>
      <c r="E92" s="29" t="s">
        <v>358</v>
      </c>
      <c r="F92" s="28" t="s">
        <v>359</v>
      </c>
      <c r="G92" s="45">
        <v>2.12</v>
      </c>
      <c r="H92" s="45">
        <v>0.24</v>
      </c>
      <c r="I92" s="45">
        <v>0.2</v>
      </c>
      <c r="J92" s="15"/>
      <c r="K92" s="15"/>
      <c r="L92" s="15"/>
      <c r="M92" s="15"/>
      <c r="N92" s="15">
        <f t="shared" ref="N92:N100" si="86">G92</f>
        <v>2.12</v>
      </c>
      <c r="O92" s="15">
        <f t="shared" ref="O92:O100" si="87">H92</f>
        <v>0.24</v>
      </c>
      <c r="P92" s="15"/>
      <c r="Q92" s="15"/>
      <c r="R92" s="15"/>
      <c r="S92" s="15"/>
      <c r="T92" s="45">
        <f t="shared" ref="T92:T113" si="88">6.25-3.5</f>
        <v>2.75</v>
      </c>
      <c r="U92" s="45">
        <f t="shared" ref="U92:U100" si="89">G92*2*I92</f>
        <v>0.84800000000000009</v>
      </c>
      <c r="V92" s="45"/>
      <c r="W92" s="15"/>
      <c r="X92" s="15"/>
      <c r="Y92" s="46">
        <f t="shared" si="45"/>
        <v>0.50880000000000003</v>
      </c>
      <c r="Z92" s="46">
        <f t="shared" si="46"/>
        <v>0.10176000000000002</v>
      </c>
      <c r="AA92" s="46">
        <f t="shared" si="47"/>
        <v>0.50880000000000003</v>
      </c>
      <c r="AB92" s="46">
        <f t="shared" si="48"/>
        <v>0.84800000000000009</v>
      </c>
      <c r="AC92" s="46">
        <f t="shared" si="53"/>
        <v>0.50880000000000003</v>
      </c>
      <c r="AD92" s="15"/>
      <c r="AF92" s="3"/>
    </row>
    <row r="93" spans="1:32" x14ac:dyDescent="0.25">
      <c r="A93" s="25" t="s">
        <v>25</v>
      </c>
      <c r="B93" s="32"/>
      <c r="C93" s="26"/>
      <c r="D93" s="27" t="s">
        <v>178</v>
      </c>
      <c r="E93" s="29" t="s">
        <v>358</v>
      </c>
      <c r="F93" s="28" t="s">
        <v>359</v>
      </c>
      <c r="G93" s="45">
        <v>2.12</v>
      </c>
      <c r="H93" s="45">
        <v>0.24</v>
      </c>
      <c r="I93" s="45">
        <v>0.2</v>
      </c>
      <c r="J93" s="15"/>
      <c r="K93" s="15"/>
      <c r="L93" s="15"/>
      <c r="M93" s="15"/>
      <c r="N93" s="15">
        <f t="shared" si="86"/>
        <v>2.12</v>
      </c>
      <c r="O93" s="15">
        <f t="shared" si="87"/>
        <v>0.24</v>
      </c>
      <c r="P93" s="15"/>
      <c r="Q93" s="15"/>
      <c r="R93" s="15"/>
      <c r="S93" s="15"/>
      <c r="T93" s="45">
        <f t="shared" si="88"/>
        <v>2.75</v>
      </c>
      <c r="U93" s="45">
        <f t="shared" si="89"/>
        <v>0.84800000000000009</v>
      </c>
      <c r="V93" s="45"/>
      <c r="W93" s="15"/>
      <c r="X93" s="15"/>
      <c r="Y93" s="46">
        <f t="shared" si="45"/>
        <v>0.50880000000000003</v>
      </c>
      <c r="Z93" s="46">
        <f t="shared" si="46"/>
        <v>0.10176000000000002</v>
      </c>
      <c r="AA93" s="46">
        <f t="shared" si="47"/>
        <v>0.50880000000000003</v>
      </c>
      <c r="AB93" s="46">
        <f t="shared" si="48"/>
        <v>0.84800000000000009</v>
      </c>
      <c r="AC93" s="46">
        <f t="shared" si="53"/>
        <v>0.50880000000000003</v>
      </c>
      <c r="AD93" s="15"/>
      <c r="AF93" s="3"/>
    </row>
    <row r="94" spans="1:32" x14ac:dyDescent="0.25">
      <c r="A94" s="25" t="s">
        <v>25</v>
      </c>
      <c r="B94" s="32"/>
      <c r="C94" s="26"/>
      <c r="D94" s="27" t="s">
        <v>179</v>
      </c>
      <c r="E94" s="29" t="s">
        <v>358</v>
      </c>
      <c r="F94" s="28" t="s">
        <v>359</v>
      </c>
      <c r="G94" s="45">
        <v>2.12</v>
      </c>
      <c r="H94" s="45">
        <v>0.24</v>
      </c>
      <c r="I94" s="45">
        <v>0.2</v>
      </c>
      <c r="J94" s="15"/>
      <c r="K94" s="15"/>
      <c r="L94" s="15"/>
      <c r="M94" s="15"/>
      <c r="N94" s="15">
        <f t="shared" si="86"/>
        <v>2.12</v>
      </c>
      <c r="O94" s="15">
        <f t="shared" si="87"/>
        <v>0.24</v>
      </c>
      <c r="P94" s="15"/>
      <c r="Q94" s="15"/>
      <c r="R94" s="15"/>
      <c r="S94" s="15"/>
      <c r="T94" s="45">
        <f t="shared" si="88"/>
        <v>2.75</v>
      </c>
      <c r="U94" s="45">
        <f t="shared" si="89"/>
        <v>0.84800000000000009</v>
      </c>
      <c r="V94" s="45"/>
      <c r="W94" s="15"/>
      <c r="X94" s="15"/>
      <c r="Y94" s="46">
        <f t="shared" si="45"/>
        <v>0.50880000000000003</v>
      </c>
      <c r="Z94" s="46">
        <f t="shared" si="46"/>
        <v>0.10176000000000002</v>
      </c>
      <c r="AA94" s="46">
        <f t="shared" si="47"/>
        <v>0.50880000000000003</v>
      </c>
      <c r="AB94" s="46">
        <f t="shared" si="48"/>
        <v>0.84800000000000009</v>
      </c>
      <c r="AC94" s="46">
        <f t="shared" si="53"/>
        <v>0.50880000000000003</v>
      </c>
      <c r="AD94" s="15"/>
      <c r="AF94" s="3"/>
    </row>
    <row r="95" spans="1:32" x14ac:dyDescent="0.25">
      <c r="A95" s="25" t="s">
        <v>25</v>
      </c>
      <c r="B95" s="32"/>
      <c r="C95" s="26"/>
      <c r="D95" s="27" t="s">
        <v>180</v>
      </c>
      <c r="E95" s="29" t="s">
        <v>358</v>
      </c>
      <c r="F95" s="28" t="s">
        <v>359</v>
      </c>
      <c r="G95" s="45">
        <v>2.12</v>
      </c>
      <c r="H95" s="45">
        <v>0.24</v>
      </c>
      <c r="I95" s="45">
        <v>0.2</v>
      </c>
      <c r="J95" s="15"/>
      <c r="K95" s="15"/>
      <c r="L95" s="15"/>
      <c r="M95" s="15"/>
      <c r="N95" s="15">
        <f t="shared" si="86"/>
        <v>2.12</v>
      </c>
      <c r="O95" s="15">
        <f t="shared" si="87"/>
        <v>0.24</v>
      </c>
      <c r="P95" s="15"/>
      <c r="Q95" s="15"/>
      <c r="R95" s="15"/>
      <c r="S95" s="15"/>
      <c r="T95" s="45">
        <f t="shared" si="88"/>
        <v>2.75</v>
      </c>
      <c r="U95" s="45">
        <f t="shared" si="89"/>
        <v>0.84800000000000009</v>
      </c>
      <c r="V95" s="45"/>
      <c r="W95" s="15"/>
      <c r="X95" s="15"/>
      <c r="Y95" s="46">
        <f t="shared" si="45"/>
        <v>0.50880000000000003</v>
      </c>
      <c r="Z95" s="46">
        <f t="shared" si="46"/>
        <v>0.10176000000000002</v>
      </c>
      <c r="AA95" s="46">
        <f t="shared" si="47"/>
        <v>0.50880000000000003</v>
      </c>
      <c r="AB95" s="46">
        <f t="shared" si="48"/>
        <v>0.84800000000000009</v>
      </c>
      <c r="AC95" s="46">
        <f t="shared" si="53"/>
        <v>0.50880000000000003</v>
      </c>
      <c r="AD95" s="15"/>
      <c r="AF95" s="3"/>
    </row>
    <row r="96" spans="1:32" x14ac:dyDescent="0.25">
      <c r="A96" s="25" t="s">
        <v>25</v>
      </c>
      <c r="B96" s="32"/>
      <c r="C96" s="26"/>
      <c r="D96" s="27" t="s">
        <v>181</v>
      </c>
      <c r="E96" s="29" t="s">
        <v>358</v>
      </c>
      <c r="F96" s="28" t="s">
        <v>359</v>
      </c>
      <c r="G96" s="45">
        <v>2.12</v>
      </c>
      <c r="H96" s="45">
        <v>0.24</v>
      </c>
      <c r="I96" s="45">
        <v>0.2</v>
      </c>
      <c r="J96" s="15"/>
      <c r="K96" s="15"/>
      <c r="L96" s="15"/>
      <c r="M96" s="15"/>
      <c r="N96" s="15">
        <f t="shared" si="86"/>
        <v>2.12</v>
      </c>
      <c r="O96" s="15">
        <f t="shared" si="87"/>
        <v>0.24</v>
      </c>
      <c r="P96" s="15"/>
      <c r="Q96" s="15"/>
      <c r="R96" s="15"/>
      <c r="S96" s="15"/>
      <c r="T96" s="45">
        <f t="shared" si="88"/>
        <v>2.75</v>
      </c>
      <c r="U96" s="45">
        <f t="shared" si="89"/>
        <v>0.84800000000000009</v>
      </c>
      <c r="V96" s="45"/>
      <c r="W96" s="15"/>
      <c r="X96" s="15"/>
      <c r="Y96" s="46">
        <f t="shared" si="45"/>
        <v>0.50880000000000003</v>
      </c>
      <c r="Z96" s="46">
        <f t="shared" si="46"/>
        <v>0.10176000000000002</v>
      </c>
      <c r="AA96" s="46">
        <f t="shared" si="47"/>
        <v>0.50880000000000003</v>
      </c>
      <c r="AB96" s="46">
        <f t="shared" si="48"/>
        <v>0.84800000000000009</v>
      </c>
      <c r="AC96" s="46">
        <f t="shared" si="53"/>
        <v>0.50880000000000003</v>
      </c>
      <c r="AD96" s="15"/>
      <c r="AF96" s="3"/>
    </row>
    <row r="97" spans="1:32" x14ac:dyDescent="0.25">
      <c r="A97" s="25" t="s">
        <v>25</v>
      </c>
      <c r="B97" s="32"/>
      <c r="C97" s="26"/>
      <c r="D97" s="27" t="s">
        <v>182</v>
      </c>
      <c r="E97" s="29" t="s">
        <v>358</v>
      </c>
      <c r="F97" s="28" t="s">
        <v>359</v>
      </c>
      <c r="G97" s="45">
        <v>2.12</v>
      </c>
      <c r="H97" s="45">
        <v>0.24</v>
      </c>
      <c r="I97" s="45">
        <v>0.2</v>
      </c>
      <c r="J97" s="15"/>
      <c r="K97" s="15"/>
      <c r="L97" s="15"/>
      <c r="M97" s="15"/>
      <c r="N97" s="15">
        <f t="shared" si="86"/>
        <v>2.12</v>
      </c>
      <c r="O97" s="15">
        <f t="shared" si="87"/>
        <v>0.24</v>
      </c>
      <c r="P97" s="15"/>
      <c r="Q97" s="15"/>
      <c r="R97" s="15"/>
      <c r="S97" s="15"/>
      <c r="T97" s="45">
        <f t="shared" si="88"/>
        <v>2.75</v>
      </c>
      <c r="U97" s="45">
        <f t="shared" si="89"/>
        <v>0.84800000000000009</v>
      </c>
      <c r="V97" s="45"/>
      <c r="W97" s="15"/>
      <c r="X97" s="15"/>
      <c r="Y97" s="46">
        <f t="shared" si="45"/>
        <v>0.50880000000000003</v>
      </c>
      <c r="Z97" s="46">
        <f t="shared" si="46"/>
        <v>0.10176000000000002</v>
      </c>
      <c r="AA97" s="46">
        <f t="shared" si="47"/>
        <v>0.50880000000000003</v>
      </c>
      <c r="AB97" s="46">
        <f t="shared" si="48"/>
        <v>0.84800000000000009</v>
      </c>
      <c r="AC97" s="46">
        <f t="shared" si="53"/>
        <v>0.50880000000000003</v>
      </c>
      <c r="AD97" s="15"/>
      <c r="AF97" s="3"/>
    </row>
    <row r="98" spans="1:32" x14ac:dyDescent="0.25">
      <c r="A98" s="25" t="s">
        <v>25</v>
      </c>
      <c r="B98" s="32"/>
      <c r="C98" s="26"/>
      <c r="D98" s="27" t="s">
        <v>183</v>
      </c>
      <c r="E98" s="29" t="s">
        <v>358</v>
      </c>
      <c r="F98" s="28" t="s">
        <v>359</v>
      </c>
      <c r="G98" s="45">
        <v>2.12</v>
      </c>
      <c r="H98" s="45">
        <v>0.24</v>
      </c>
      <c r="I98" s="45">
        <v>0.2</v>
      </c>
      <c r="J98" s="15"/>
      <c r="K98" s="15"/>
      <c r="L98" s="15"/>
      <c r="M98" s="15"/>
      <c r="N98" s="15">
        <f t="shared" si="86"/>
        <v>2.12</v>
      </c>
      <c r="O98" s="15">
        <f t="shared" si="87"/>
        <v>0.24</v>
      </c>
      <c r="P98" s="15"/>
      <c r="Q98" s="15"/>
      <c r="R98" s="15"/>
      <c r="S98" s="15"/>
      <c r="T98" s="45">
        <f t="shared" si="88"/>
        <v>2.75</v>
      </c>
      <c r="U98" s="45">
        <f t="shared" si="89"/>
        <v>0.84800000000000009</v>
      </c>
      <c r="V98" s="45"/>
      <c r="W98" s="15"/>
      <c r="X98" s="15"/>
      <c r="Y98" s="46">
        <f t="shared" si="45"/>
        <v>0.50880000000000003</v>
      </c>
      <c r="Z98" s="46">
        <f t="shared" si="46"/>
        <v>0.10176000000000002</v>
      </c>
      <c r="AA98" s="46">
        <f t="shared" si="47"/>
        <v>0.50880000000000003</v>
      </c>
      <c r="AB98" s="46">
        <f t="shared" si="48"/>
        <v>0.84800000000000009</v>
      </c>
      <c r="AC98" s="46">
        <f t="shared" si="53"/>
        <v>0.50880000000000003</v>
      </c>
      <c r="AD98" s="15"/>
      <c r="AF98" s="3"/>
    </row>
    <row r="99" spans="1:32" x14ac:dyDescent="0.25">
      <c r="A99" s="25" t="s">
        <v>25</v>
      </c>
      <c r="B99" s="32"/>
      <c r="C99" s="26"/>
      <c r="D99" s="27" t="s">
        <v>184</v>
      </c>
      <c r="E99" s="29" t="s">
        <v>358</v>
      </c>
      <c r="F99" s="28" t="s">
        <v>359</v>
      </c>
      <c r="G99" s="45">
        <v>2.52</v>
      </c>
      <c r="H99" s="45">
        <v>0.24</v>
      </c>
      <c r="I99" s="45">
        <v>0.2</v>
      </c>
      <c r="J99" s="15"/>
      <c r="K99" s="15"/>
      <c r="L99" s="15"/>
      <c r="M99" s="15"/>
      <c r="N99" s="15">
        <f t="shared" si="86"/>
        <v>2.52</v>
      </c>
      <c r="O99" s="15">
        <f t="shared" si="87"/>
        <v>0.24</v>
      </c>
      <c r="P99" s="15"/>
      <c r="Q99" s="15"/>
      <c r="R99" s="15"/>
      <c r="S99" s="15"/>
      <c r="T99" s="45">
        <f t="shared" si="88"/>
        <v>2.75</v>
      </c>
      <c r="U99" s="45">
        <f t="shared" si="89"/>
        <v>1.008</v>
      </c>
      <c r="V99" s="45"/>
      <c r="W99" s="15"/>
      <c r="X99" s="15"/>
      <c r="Y99" s="46">
        <f t="shared" si="45"/>
        <v>0.6048</v>
      </c>
      <c r="Z99" s="46">
        <f t="shared" si="46"/>
        <v>0.12096000000000001</v>
      </c>
      <c r="AA99" s="46">
        <f t="shared" si="47"/>
        <v>0.6048</v>
      </c>
      <c r="AB99" s="46">
        <f t="shared" si="48"/>
        <v>1.008</v>
      </c>
      <c r="AC99" s="46">
        <f t="shared" si="53"/>
        <v>0.6048</v>
      </c>
      <c r="AD99" s="15"/>
      <c r="AF99" s="3"/>
    </row>
    <row r="100" spans="1:32" x14ac:dyDescent="0.25">
      <c r="A100" s="25" t="s">
        <v>25</v>
      </c>
      <c r="B100" s="32"/>
      <c r="C100" s="26"/>
      <c r="D100" s="27" t="s">
        <v>185</v>
      </c>
      <c r="E100" s="29" t="s">
        <v>358</v>
      </c>
      <c r="F100" s="28" t="s">
        <v>359</v>
      </c>
      <c r="G100" s="45">
        <v>0.62</v>
      </c>
      <c r="H100" s="45">
        <v>0.24</v>
      </c>
      <c r="I100" s="45">
        <v>0.2</v>
      </c>
      <c r="J100" s="15"/>
      <c r="K100" s="15"/>
      <c r="L100" s="15"/>
      <c r="M100" s="15"/>
      <c r="N100" s="15">
        <f t="shared" si="86"/>
        <v>0.62</v>
      </c>
      <c r="O100" s="15">
        <f t="shared" si="87"/>
        <v>0.24</v>
      </c>
      <c r="P100" s="15"/>
      <c r="Q100" s="15"/>
      <c r="R100" s="15"/>
      <c r="S100" s="15"/>
      <c r="T100" s="45">
        <f t="shared" si="88"/>
        <v>2.75</v>
      </c>
      <c r="U100" s="45">
        <f t="shared" si="89"/>
        <v>0.248</v>
      </c>
      <c r="V100" s="45"/>
      <c r="W100" s="15"/>
      <c r="X100" s="15"/>
      <c r="Y100" s="46">
        <f t="shared" ref="Y100:Y199" si="90">IF(((G100*H100)+J100-K100+L100)=0,"",((G100*H100)+J100-K100+L100))</f>
        <v>0.14879999999999999</v>
      </c>
      <c r="Z100" s="46">
        <f t="shared" ref="Z100:Z199" si="91">IF(PRODUCT(Y100,I100)+M100=0,"",Y100*I100+M100)</f>
        <v>2.9759999999999998E-2</v>
      </c>
      <c r="AA100" s="46">
        <f t="shared" ref="AA100:AA199" si="92">IF((N100*O100+P100-Q100-R100+S100)=0,"",(N100*O100+P100-Q100-R100+S100))</f>
        <v>0.14879999999999999</v>
      </c>
      <c r="AB100" s="46">
        <f t="shared" ref="AB100:AB199" si="93">IF((U100+V100-W100+X100)=0,"",(U100+V100-W100+X100))</f>
        <v>0.248</v>
      </c>
      <c r="AC100" s="46">
        <f t="shared" si="53"/>
        <v>0.14879999999999999</v>
      </c>
      <c r="AD100" s="15"/>
      <c r="AF100" s="3"/>
    </row>
    <row r="101" spans="1:32" x14ac:dyDescent="0.25">
      <c r="A101" s="25" t="s">
        <v>25</v>
      </c>
      <c r="B101" s="32"/>
      <c r="C101" s="26"/>
      <c r="D101" s="27" t="s">
        <v>186</v>
      </c>
      <c r="E101" s="29" t="s">
        <v>358</v>
      </c>
      <c r="F101" s="28" t="s">
        <v>359</v>
      </c>
      <c r="G101" s="45">
        <v>2.12</v>
      </c>
      <c r="H101" s="45">
        <v>0.24</v>
      </c>
      <c r="I101" s="45">
        <v>0.2</v>
      </c>
      <c r="J101" s="15"/>
      <c r="K101" s="15"/>
      <c r="L101" s="15"/>
      <c r="M101" s="15"/>
      <c r="N101" s="15">
        <f t="shared" ref="N101:N102" si="94">G101</f>
        <v>2.12</v>
      </c>
      <c r="O101" s="15">
        <f t="shared" ref="O101:O102" si="95">H101</f>
        <v>0.24</v>
      </c>
      <c r="P101" s="15"/>
      <c r="Q101" s="15"/>
      <c r="R101" s="15"/>
      <c r="S101" s="15"/>
      <c r="T101" s="45">
        <f t="shared" si="88"/>
        <v>2.75</v>
      </c>
      <c r="U101" s="45">
        <f t="shared" ref="U101:U102" si="96">G101*2*I101</f>
        <v>0.84800000000000009</v>
      </c>
      <c r="V101" s="45"/>
      <c r="W101" s="15"/>
      <c r="X101" s="15"/>
      <c r="Y101" s="46">
        <f t="shared" si="90"/>
        <v>0.50880000000000003</v>
      </c>
      <c r="Z101" s="46">
        <f t="shared" si="91"/>
        <v>0.10176000000000002</v>
      </c>
      <c r="AA101" s="46">
        <f t="shared" si="92"/>
        <v>0.50880000000000003</v>
      </c>
      <c r="AB101" s="46">
        <f t="shared" si="93"/>
        <v>0.84800000000000009</v>
      </c>
      <c r="AC101" s="46">
        <f t="shared" si="53"/>
        <v>0.50880000000000003</v>
      </c>
      <c r="AD101" s="15"/>
      <c r="AF101" s="3"/>
    </row>
    <row r="102" spans="1:32" x14ac:dyDescent="0.25">
      <c r="A102" s="25" t="s">
        <v>25</v>
      </c>
      <c r="B102" s="32"/>
      <c r="C102" s="26"/>
      <c r="D102" s="27" t="s">
        <v>187</v>
      </c>
      <c r="E102" s="29" t="s">
        <v>358</v>
      </c>
      <c r="F102" s="28" t="s">
        <v>359</v>
      </c>
      <c r="G102" s="45">
        <v>2.12</v>
      </c>
      <c r="H102" s="45">
        <v>0.24</v>
      </c>
      <c r="I102" s="45">
        <v>0.2</v>
      </c>
      <c r="J102" s="15"/>
      <c r="K102" s="15"/>
      <c r="L102" s="15"/>
      <c r="M102" s="15"/>
      <c r="N102" s="15">
        <f t="shared" si="94"/>
        <v>2.12</v>
      </c>
      <c r="O102" s="15">
        <f t="shared" si="95"/>
        <v>0.24</v>
      </c>
      <c r="P102" s="15"/>
      <c r="Q102" s="15"/>
      <c r="R102" s="15"/>
      <c r="S102" s="15"/>
      <c r="T102" s="45">
        <f t="shared" si="88"/>
        <v>2.75</v>
      </c>
      <c r="U102" s="45">
        <f t="shared" si="96"/>
        <v>0.84800000000000009</v>
      </c>
      <c r="V102" s="45"/>
      <c r="W102" s="15"/>
      <c r="X102" s="15"/>
      <c r="Y102" s="46">
        <f t="shared" si="90"/>
        <v>0.50880000000000003</v>
      </c>
      <c r="Z102" s="46">
        <f t="shared" si="91"/>
        <v>0.10176000000000002</v>
      </c>
      <c r="AA102" s="46">
        <f t="shared" si="92"/>
        <v>0.50880000000000003</v>
      </c>
      <c r="AB102" s="46">
        <f t="shared" si="93"/>
        <v>0.84800000000000009</v>
      </c>
      <c r="AC102" s="46">
        <f t="shared" si="53"/>
        <v>0.50880000000000003</v>
      </c>
      <c r="AD102" s="15"/>
      <c r="AF102" s="3"/>
    </row>
    <row r="103" spans="1:32" x14ac:dyDescent="0.25">
      <c r="A103" s="25" t="s">
        <v>25</v>
      </c>
      <c r="B103" s="32"/>
      <c r="C103" s="26"/>
      <c r="D103" s="27" t="s">
        <v>188</v>
      </c>
      <c r="E103" s="29" t="s">
        <v>358</v>
      </c>
      <c r="F103" s="28" t="s">
        <v>359</v>
      </c>
      <c r="G103" s="45">
        <v>2.02</v>
      </c>
      <c r="H103" s="45">
        <v>0.24</v>
      </c>
      <c r="I103" s="45">
        <v>0.2</v>
      </c>
      <c r="J103" s="15"/>
      <c r="K103" s="15"/>
      <c r="L103" s="15"/>
      <c r="M103" s="15"/>
      <c r="N103" s="15">
        <f t="shared" ref="N103" si="97">G103</f>
        <v>2.02</v>
      </c>
      <c r="O103" s="15">
        <f t="shared" ref="O103" si="98">H103</f>
        <v>0.24</v>
      </c>
      <c r="P103" s="15"/>
      <c r="Q103" s="15"/>
      <c r="R103" s="15"/>
      <c r="S103" s="15"/>
      <c r="T103" s="45">
        <f t="shared" si="88"/>
        <v>2.75</v>
      </c>
      <c r="U103" s="45">
        <f t="shared" ref="U103" si="99">G103*2*I103</f>
        <v>0.80800000000000005</v>
      </c>
      <c r="V103" s="45"/>
      <c r="W103" s="15"/>
      <c r="X103" s="15"/>
      <c r="Y103" s="46">
        <f t="shared" si="90"/>
        <v>0.48480000000000001</v>
      </c>
      <c r="Z103" s="46">
        <f t="shared" si="91"/>
        <v>9.6960000000000005E-2</v>
      </c>
      <c r="AA103" s="46">
        <f t="shared" si="92"/>
        <v>0.48480000000000001</v>
      </c>
      <c r="AB103" s="46">
        <f t="shared" si="93"/>
        <v>0.80800000000000005</v>
      </c>
      <c r="AC103" s="46">
        <f t="shared" si="53"/>
        <v>0.48480000000000001</v>
      </c>
      <c r="AD103" s="15"/>
      <c r="AF103" s="3"/>
    </row>
    <row r="104" spans="1:32" x14ac:dyDescent="0.25">
      <c r="A104" s="25" t="s">
        <v>25</v>
      </c>
      <c r="B104" s="32"/>
      <c r="C104" s="26"/>
      <c r="D104" s="27" t="s">
        <v>189</v>
      </c>
      <c r="E104" s="29" t="s">
        <v>358</v>
      </c>
      <c r="F104" s="28" t="s">
        <v>359</v>
      </c>
      <c r="G104" s="45">
        <v>2.52</v>
      </c>
      <c r="H104" s="45">
        <v>0.24</v>
      </c>
      <c r="I104" s="45">
        <v>0.2</v>
      </c>
      <c r="J104" s="15"/>
      <c r="K104" s="15"/>
      <c r="L104" s="15"/>
      <c r="M104" s="15"/>
      <c r="N104" s="15">
        <f t="shared" ref="N104" si="100">G104</f>
        <v>2.52</v>
      </c>
      <c r="O104" s="15">
        <f t="shared" ref="O104" si="101">H104</f>
        <v>0.24</v>
      </c>
      <c r="P104" s="15"/>
      <c r="Q104" s="15"/>
      <c r="R104" s="15"/>
      <c r="S104" s="15"/>
      <c r="T104" s="45">
        <f t="shared" si="88"/>
        <v>2.75</v>
      </c>
      <c r="U104" s="45">
        <f t="shared" ref="U104" si="102">G104*2*I104</f>
        <v>1.008</v>
      </c>
      <c r="V104" s="45"/>
      <c r="W104" s="15"/>
      <c r="X104" s="15"/>
      <c r="Y104" s="46">
        <f t="shared" si="90"/>
        <v>0.6048</v>
      </c>
      <c r="Z104" s="46">
        <f t="shared" si="91"/>
        <v>0.12096000000000001</v>
      </c>
      <c r="AA104" s="46">
        <f t="shared" si="92"/>
        <v>0.6048</v>
      </c>
      <c r="AB104" s="46">
        <f t="shared" si="93"/>
        <v>1.008</v>
      </c>
      <c r="AC104" s="46">
        <f t="shared" si="53"/>
        <v>0.6048</v>
      </c>
      <c r="AD104" s="15"/>
      <c r="AF104" s="3"/>
    </row>
    <row r="105" spans="1:32" x14ac:dyDescent="0.25">
      <c r="A105" s="25" t="s">
        <v>25</v>
      </c>
      <c r="B105" s="32"/>
      <c r="C105" s="26"/>
      <c r="D105" s="27" t="s">
        <v>190</v>
      </c>
      <c r="E105" s="29" t="s">
        <v>358</v>
      </c>
      <c r="F105" s="28" t="s">
        <v>359</v>
      </c>
      <c r="G105" s="45">
        <v>0.62</v>
      </c>
      <c r="H105" s="45">
        <v>0.24</v>
      </c>
      <c r="I105" s="45">
        <v>0.2</v>
      </c>
      <c r="J105" s="15"/>
      <c r="K105" s="15"/>
      <c r="L105" s="15"/>
      <c r="M105" s="15"/>
      <c r="N105" s="15">
        <f t="shared" ref="N105" si="103">G105</f>
        <v>0.62</v>
      </c>
      <c r="O105" s="15">
        <f t="shared" ref="O105" si="104">H105</f>
        <v>0.24</v>
      </c>
      <c r="P105" s="15"/>
      <c r="Q105" s="15"/>
      <c r="R105" s="15"/>
      <c r="S105" s="15"/>
      <c r="T105" s="45">
        <f t="shared" si="88"/>
        <v>2.75</v>
      </c>
      <c r="U105" s="45">
        <f t="shared" ref="U105" si="105">G105*2*I105</f>
        <v>0.248</v>
      </c>
      <c r="V105" s="45"/>
      <c r="W105" s="15"/>
      <c r="X105" s="15"/>
      <c r="Y105" s="46">
        <f t="shared" si="90"/>
        <v>0.14879999999999999</v>
      </c>
      <c r="Z105" s="46">
        <f t="shared" si="91"/>
        <v>2.9759999999999998E-2</v>
      </c>
      <c r="AA105" s="46">
        <f t="shared" si="92"/>
        <v>0.14879999999999999</v>
      </c>
      <c r="AB105" s="46">
        <f t="shared" si="93"/>
        <v>0.248</v>
      </c>
      <c r="AC105" s="46">
        <f t="shared" ref="AC105:AC204" si="106">IF((N105*O105+P105-Q105-R105+S105)=0,"",(N105*O105+P105-Q105-R105+S105))</f>
        <v>0.14879999999999999</v>
      </c>
      <c r="AD105" s="15"/>
      <c r="AF105" s="3"/>
    </row>
    <row r="106" spans="1:32" x14ac:dyDescent="0.25">
      <c r="A106" s="25" t="s">
        <v>25</v>
      </c>
      <c r="B106" s="32"/>
      <c r="C106" s="26"/>
      <c r="D106" s="27" t="s">
        <v>191</v>
      </c>
      <c r="E106" s="29" t="s">
        <v>358</v>
      </c>
      <c r="F106" s="28" t="s">
        <v>359</v>
      </c>
      <c r="G106" s="45">
        <v>2.12</v>
      </c>
      <c r="H106" s="45">
        <v>0.24</v>
      </c>
      <c r="I106" s="45">
        <v>0.2</v>
      </c>
      <c r="J106" s="15"/>
      <c r="K106" s="15"/>
      <c r="L106" s="15"/>
      <c r="M106" s="15"/>
      <c r="N106" s="15">
        <f t="shared" ref="N106:N112" si="107">G106</f>
        <v>2.12</v>
      </c>
      <c r="O106" s="15">
        <f t="shared" ref="O106:O112" si="108">H106</f>
        <v>0.24</v>
      </c>
      <c r="P106" s="15"/>
      <c r="Q106" s="15"/>
      <c r="R106" s="15"/>
      <c r="S106" s="15"/>
      <c r="T106" s="45">
        <f t="shared" si="88"/>
        <v>2.75</v>
      </c>
      <c r="U106" s="45">
        <f t="shared" ref="U106:U112" si="109">G106*2*I106</f>
        <v>0.84800000000000009</v>
      </c>
      <c r="V106" s="45"/>
      <c r="W106" s="15"/>
      <c r="X106" s="15"/>
      <c r="Y106" s="46">
        <f t="shared" si="90"/>
        <v>0.50880000000000003</v>
      </c>
      <c r="Z106" s="46">
        <f t="shared" si="91"/>
        <v>0.10176000000000002</v>
      </c>
      <c r="AA106" s="46">
        <f t="shared" si="92"/>
        <v>0.50880000000000003</v>
      </c>
      <c r="AB106" s="46">
        <f t="shared" si="93"/>
        <v>0.84800000000000009</v>
      </c>
      <c r="AC106" s="46">
        <f t="shared" si="106"/>
        <v>0.50880000000000003</v>
      </c>
      <c r="AD106" s="15"/>
      <c r="AF106" s="3"/>
    </row>
    <row r="107" spans="1:32" x14ac:dyDescent="0.25">
      <c r="A107" s="25" t="s">
        <v>25</v>
      </c>
      <c r="B107" s="32"/>
      <c r="C107" s="26"/>
      <c r="D107" s="27" t="s">
        <v>192</v>
      </c>
      <c r="E107" s="29" t="s">
        <v>358</v>
      </c>
      <c r="F107" s="28" t="s">
        <v>359</v>
      </c>
      <c r="G107" s="45">
        <v>2.12</v>
      </c>
      <c r="H107" s="45">
        <v>0.24</v>
      </c>
      <c r="I107" s="45">
        <v>0.2</v>
      </c>
      <c r="J107" s="15"/>
      <c r="K107" s="15"/>
      <c r="L107" s="15"/>
      <c r="M107" s="15"/>
      <c r="N107" s="15">
        <f t="shared" si="107"/>
        <v>2.12</v>
      </c>
      <c r="O107" s="15">
        <f t="shared" si="108"/>
        <v>0.24</v>
      </c>
      <c r="P107" s="15"/>
      <c r="Q107" s="15"/>
      <c r="R107" s="15"/>
      <c r="S107" s="15"/>
      <c r="T107" s="45">
        <f t="shared" si="88"/>
        <v>2.75</v>
      </c>
      <c r="U107" s="45">
        <f t="shared" si="109"/>
        <v>0.84800000000000009</v>
      </c>
      <c r="V107" s="45"/>
      <c r="W107" s="15"/>
      <c r="X107" s="15"/>
      <c r="Y107" s="46">
        <f t="shared" si="90"/>
        <v>0.50880000000000003</v>
      </c>
      <c r="Z107" s="46">
        <f t="shared" si="91"/>
        <v>0.10176000000000002</v>
      </c>
      <c r="AA107" s="46">
        <f t="shared" si="92"/>
        <v>0.50880000000000003</v>
      </c>
      <c r="AB107" s="46">
        <f t="shared" si="93"/>
        <v>0.84800000000000009</v>
      </c>
      <c r="AC107" s="46">
        <f t="shared" si="106"/>
        <v>0.50880000000000003</v>
      </c>
      <c r="AD107" s="15"/>
      <c r="AF107" s="3"/>
    </row>
    <row r="108" spans="1:32" x14ac:dyDescent="0.25">
      <c r="A108" s="25" t="s">
        <v>25</v>
      </c>
      <c r="B108" s="32"/>
      <c r="C108" s="26"/>
      <c r="D108" s="27" t="s">
        <v>193</v>
      </c>
      <c r="E108" s="29" t="s">
        <v>358</v>
      </c>
      <c r="F108" s="28" t="s">
        <v>359</v>
      </c>
      <c r="G108" s="45">
        <v>2.12</v>
      </c>
      <c r="H108" s="45">
        <v>0.24</v>
      </c>
      <c r="I108" s="45">
        <v>0.2</v>
      </c>
      <c r="J108" s="15"/>
      <c r="K108" s="15"/>
      <c r="L108" s="15"/>
      <c r="M108" s="15"/>
      <c r="N108" s="15">
        <f t="shared" si="107"/>
        <v>2.12</v>
      </c>
      <c r="O108" s="15">
        <f t="shared" si="108"/>
        <v>0.24</v>
      </c>
      <c r="P108" s="15"/>
      <c r="Q108" s="15"/>
      <c r="R108" s="15"/>
      <c r="S108" s="15"/>
      <c r="T108" s="45">
        <f t="shared" si="88"/>
        <v>2.75</v>
      </c>
      <c r="U108" s="45">
        <f t="shared" si="109"/>
        <v>0.84800000000000009</v>
      </c>
      <c r="V108" s="45"/>
      <c r="W108" s="15"/>
      <c r="X108" s="15"/>
      <c r="Y108" s="46">
        <f t="shared" si="90"/>
        <v>0.50880000000000003</v>
      </c>
      <c r="Z108" s="46">
        <f t="shared" si="91"/>
        <v>0.10176000000000002</v>
      </c>
      <c r="AA108" s="46">
        <f t="shared" si="92"/>
        <v>0.50880000000000003</v>
      </c>
      <c r="AB108" s="46">
        <f t="shared" si="93"/>
        <v>0.84800000000000009</v>
      </c>
      <c r="AC108" s="46">
        <f t="shared" si="106"/>
        <v>0.50880000000000003</v>
      </c>
      <c r="AD108" s="15"/>
      <c r="AF108" s="3"/>
    </row>
    <row r="109" spans="1:32" x14ac:dyDescent="0.25">
      <c r="A109" s="25" t="s">
        <v>25</v>
      </c>
      <c r="B109" s="32"/>
      <c r="C109" s="26"/>
      <c r="D109" s="27" t="s">
        <v>194</v>
      </c>
      <c r="E109" s="29" t="s">
        <v>358</v>
      </c>
      <c r="F109" s="28" t="s">
        <v>359</v>
      </c>
      <c r="G109" s="45">
        <v>2.12</v>
      </c>
      <c r="H109" s="45">
        <v>0.24</v>
      </c>
      <c r="I109" s="45">
        <v>0.2</v>
      </c>
      <c r="J109" s="15"/>
      <c r="K109" s="15"/>
      <c r="L109" s="15"/>
      <c r="M109" s="15"/>
      <c r="N109" s="15">
        <f t="shared" si="107"/>
        <v>2.12</v>
      </c>
      <c r="O109" s="15">
        <f t="shared" si="108"/>
        <v>0.24</v>
      </c>
      <c r="P109" s="15"/>
      <c r="Q109" s="15"/>
      <c r="R109" s="15"/>
      <c r="S109" s="15"/>
      <c r="T109" s="45">
        <f t="shared" si="88"/>
        <v>2.75</v>
      </c>
      <c r="U109" s="45">
        <f t="shared" si="109"/>
        <v>0.84800000000000009</v>
      </c>
      <c r="V109" s="45"/>
      <c r="W109" s="15"/>
      <c r="X109" s="15"/>
      <c r="Y109" s="46">
        <f t="shared" si="90"/>
        <v>0.50880000000000003</v>
      </c>
      <c r="Z109" s="46">
        <f t="shared" si="91"/>
        <v>0.10176000000000002</v>
      </c>
      <c r="AA109" s="46">
        <f t="shared" si="92"/>
        <v>0.50880000000000003</v>
      </c>
      <c r="AB109" s="46">
        <f t="shared" si="93"/>
        <v>0.84800000000000009</v>
      </c>
      <c r="AC109" s="46">
        <f t="shared" si="106"/>
        <v>0.50880000000000003</v>
      </c>
      <c r="AD109" s="15"/>
      <c r="AF109" s="3"/>
    </row>
    <row r="110" spans="1:32" x14ac:dyDescent="0.25">
      <c r="A110" s="25" t="s">
        <v>25</v>
      </c>
      <c r="B110" s="32"/>
      <c r="C110" s="26"/>
      <c r="D110" s="27" t="s">
        <v>195</v>
      </c>
      <c r="E110" s="29" t="s">
        <v>358</v>
      </c>
      <c r="F110" s="28" t="s">
        <v>359</v>
      </c>
      <c r="G110" s="45">
        <v>2.12</v>
      </c>
      <c r="H110" s="45">
        <v>0.24</v>
      </c>
      <c r="I110" s="45">
        <v>0.2</v>
      </c>
      <c r="J110" s="15"/>
      <c r="K110" s="15"/>
      <c r="L110" s="15"/>
      <c r="M110" s="15"/>
      <c r="N110" s="15">
        <f t="shared" si="107"/>
        <v>2.12</v>
      </c>
      <c r="O110" s="15">
        <f t="shared" si="108"/>
        <v>0.24</v>
      </c>
      <c r="P110" s="15"/>
      <c r="Q110" s="15"/>
      <c r="R110" s="15"/>
      <c r="S110" s="15"/>
      <c r="T110" s="45">
        <f t="shared" si="88"/>
        <v>2.75</v>
      </c>
      <c r="U110" s="45">
        <f t="shared" si="109"/>
        <v>0.84800000000000009</v>
      </c>
      <c r="V110" s="45"/>
      <c r="W110" s="15"/>
      <c r="X110" s="15"/>
      <c r="Y110" s="46">
        <f t="shared" si="90"/>
        <v>0.50880000000000003</v>
      </c>
      <c r="Z110" s="46">
        <f t="shared" si="91"/>
        <v>0.10176000000000002</v>
      </c>
      <c r="AA110" s="46">
        <f t="shared" si="92"/>
        <v>0.50880000000000003</v>
      </c>
      <c r="AB110" s="46">
        <f t="shared" si="93"/>
        <v>0.84800000000000009</v>
      </c>
      <c r="AC110" s="46">
        <f t="shared" si="106"/>
        <v>0.50880000000000003</v>
      </c>
      <c r="AD110" s="15"/>
      <c r="AF110" s="3"/>
    </row>
    <row r="111" spans="1:32" x14ac:dyDescent="0.25">
      <c r="A111" s="25" t="s">
        <v>25</v>
      </c>
      <c r="B111" s="32"/>
      <c r="C111" s="26"/>
      <c r="D111" s="27" t="s">
        <v>196</v>
      </c>
      <c r="E111" s="29" t="s">
        <v>358</v>
      </c>
      <c r="F111" s="28" t="s">
        <v>359</v>
      </c>
      <c r="G111" s="45">
        <v>0.62</v>
      </c>
      <c r="H111" s="45">
        <v>0.24</v>
      </c>
      <c r="I111" s="45">
        <v>0.2</v>
      </c>
      <c r="J111" s="15"/>
      <c r="K111" s="15"/>
      <c r="L111" s="15"/>
      <c r="M111" s="15"/>
      <c r="N111" s="15">
        <f t="shared" si="107"/>
        <v>0.62</v>
      </c>
      <c r="O111" s="15">
        <f t="shared" si="108"/>
        <v>0.24</v>
      </c>
      <c r="P111" s="15"/>
      <c r="Q111" s="15"/>
      <c r="R111" s="15"/>
      <c r="S111" s="15"/>
      <c r="T111" s="45">
        <f t="shared" si="88"/>
        <v>2.75</v>
      </c>
      <c r="U111" s="45">
        <f t="shared" si="109"/>
        <v>0.248</v>
      </c>
      <c r="V111" s="45"/>
      <c r="W111" s="15"/>
      <c r="X111" s="15"/>
      <c r="Y111" s="46">
        <f t="shared" si="90"/>
        <v>0.14879999999999999</v>
      </c>
      <c r="Z111" s="46">
        <f t="shared" si="91"/>
        <v>2.9759999999999998E-2</v>
      </c>
      <c r="AA111" s="46">
        <f t="shared" si="92"/>
        <v>0.14879999999999999</v>
      </c>
      <c r="AB111" s="46">
        <f t="shared" si="93"/>
        <v>0.248</v>
      </c>
      <c r="AC111" s="46">
        <f t="shared" si="106"/>
        <v>0.14879999999999999</v>
      </c>
      <c r="AD111" s="15"/>
      <c r="AF111" s="3"/>
    </row>
    <row r="112" spans="1:32" x14ac:dyDescent="0.25">
      <c r="A112" s="25" t="s">
        <v>25</v>
      </c>
      <c r="B112" s="32"/>
      <c r="C112" s="26"/>
      <c r="D112" s="27" t="s">
        <v>197</v>
      </c>
      <c r="E112" s="29" t="s">
        <v>358</v>
      </c>
      <c r="F112" s="28" t="s">
        <v>359</v>
      </c>
      <c r="G112" s="45">
        <v>2.12</v>
      </c>
      <c r="H112" s="45">
        <v>0.24</v>
      </c>
      <c r="I112" s="45">
        <v>0.2</v>
      </c>
      <c r="J112" s="15"/>
      <c r="K112" s="15"/>
      <c r="L112" s="15"/>
      <c r="M112" s="15"/>
      <c r="N112" s="15">
        <f t="shared" si="107"/>
        <v>2.12</v>
      </c>
      <c r="O112" s="15">
        <f t="shared" si="108"/>
        <v>0.24</v>
      </c>
      <c r="P112" s="15"/>
      <c r="Q112" s="15"/>
      <c r="R112" s="15"/>
      <c r="S112" s="15"/>
      <c r="T112" s="45">
        <f t="shared" si="88"/>
        <v>2.75</v>
      </c>
      <c r="U112" s="45">
        <f t="shared" si="109"/>
        <v>0.84800000000000009</v>
      </c>
      <c r="V112" s="45"/>
      <c r="W112" s="15"/>
      <c r="X112" s="15"/>
      <c r="Y112" s="46">
        <f t="shared" si="90"/>
        <v>0.50880000000000003</v>
      </c>
      <c r="Z112" s="46">
        <f t="shared" si="91"/>
        <v>0.10176000000000002</v>
      </c>
      <c r="AA112" s="46">
        <f t="shared" si="92"/>
        <v>0.50880000000000003</v>
      </c>
      <c r="AB112" s="46">
        <f t="shared" si="93"/>
        <v>0.84800000000000009</v>
      </c>
      <c r="AC112" s="46">
        <f t="shared" si="106"/>
        <v>0.50880000000000003</v>
      </c>
      <c r="AD112" s="15"/>
      <c r="AF112" s="3"/>
    </row>
    <row r="113" spans="1:32" x14ac:dyDescent="0.25">
      <c r="A113" s="25" t="s">
        <v>25</v>
      </c>
      <c r="B113" s="32"/>
      <c r="C113" s="26"/>
      <c r="D113" s="27" t="s">
        <v>198</v>
      </c>
      <c r="E113" s="29" t="s">
        <v>358</v>
      </c>
      <c r="F113" s="28" t="s">
        <v>359</v>
      </c>
      <c r="G113" s="45">
        <v>0.6</v>
      </c>
      <c r="H113" s="45">
        <v>0.24</v>
      </c>
      <c r="I113" s="45">
        <v>0.2</v>
      </c>
      <c r="J113" s="15"/>
      <c r="K113" s="15"/>
      <c r="L113" s="15"/>
      <c r="M113" s="15"/>
      <c r="N113" s="15">
        <f t="shared" ref="N113:N121" si="110">G113</f>
        <v>0.6</v>
      </c>
      <c r="O113" s="15">
        <f t="shared" ref="O113:O121" si="111">H113</f>
        <v>0.24</v>
      </c>
      <c r="P113" s="15"/>
      <c r="Q113" s="15"/>
      <c r="R113" s="15"/>
      <c r="S113" s="15"/>
      <c r="T113" s="45">
        <f t="shared" si="88"/>
        <v>2.75</v>
      </c>
      <c r="U113" s="45">
        <f t="shared" ref="U113:U121" si="112">G113*2*I113</f>
        <v>0.24</v>
      </c>
      <c r="V113" s="45"/>
      <c r="W113" s="15"/>
      <c r="X113" s="15"/>
      <c r="Y113" s="46">
        <f t="shared" si="90"/>
        <v>0.14399999999999999</v>
      </c>
      <c r="Z113" s="46">
        <f t="shared" si="91"/>
        <v>2.8799999999999999E-2</v>
      </c>
      <c r="AA113" s="46">
        <f t="shared" si="92"/>
        <v>0.14399999999999999</v>
      </c>
      <c r="AB113" s="46">
        <f t="shared" si="93"/>
        <v>0.24</v>
      </c>
      <c r="AC113" s="46">
        <f t="shared" si="106"/>
        <v>0.14399999999999999</v>
      </c>
      <c r="AD113" s="15"/>
      <c r="AF113" s="3"/>
    </row>
    <row r="114" spans="1:32" x14ac:dyDescent="0.25">
      <c r="A114" s="25" t="s">
        <v>25</v>
      </c>
      <c r="B114" s="32"/>
      <c r="C114" s="26"/>
      <c r="D114" s="27" t="s">
        <v>199</v>
      </c>
      <c r="E114" s="29" t="s">
        <v>358</v>
      </c>
      <c r="F114" s="28" t="s">
        <v>359</v>
      </c>
      <c r="G114" s="45">
        <v>2.5</v>
      </c>
      <c r="H114" s="45">
        <v>0.24</v>
      </c>
      <c r="I114" s="45">
        <v>0.2</v>
      </c>
      <c r="J114" s="15"/>
      <c r="K114" s="15"/>
      <c r="L114" s="15"/>
      <c r="M114" s="15"/>
      <c r="N114" s="15">
        <f t="shared" si="110"/>
        <v>2.5</v>
      </c>
      <c r="O114" s="15">
        <f t="shared" si="111"/>
        <v>0.24</v>
      </c>
      <c r="P114" s="15"/>
      <c r="Q114" s="15"/>
      <c r="R114" s="15"/>
      <c r="S114" s="15"/>
      <c r="T114" s="45">
        <f>6.25-3.55</f>
        <v>2.7</v>
      </c>
      <c r="U114" s="45">
        <f t="shared" si="112"/>
        <v>1</v>
      </c>
      <c r="V114" s="45"/>
      <c r="W114" s="15"/>
      <c r="X114" s="15"/>
      <c r="Y114" s="46">
        <f t="shared" si="90"/>
        <v>0.6</v>
      </c>
      <c r="Z114" s="46">
        <f t="shared" si="91"/>
        <v>0.12</v>
      </c>
      <c r="AA114" s="46">
        <f t="shared" si="92"/>
        <v>0.6</v>
      </c>
      <c r="AB114" s="46">
        <f t="shared" si="93"/>
        <v>1</v>
      </c>
      <c r="AC114" s="46">
        <f t="shared" si="106"/>
        <v>0.6</v>
      </c>
      <c r="AD114" s="15"/>
      <c r="AF114" s="3"/>
    </row>
    <row r="115" spans="1:32" x14ac:dyDescent="0.25">
      <c r="A115" s="25" t="s">
        <v>25</v>
      </c>
      <c r="B115" s="32"/>
      <c r="C115" s="26"/>
      <c r="D115" s="27" t="s">
        <v>200</v>
      </c>
      <c r="E115" s="29" t="s">
        <v>358</v>
      </c>
      <c r="F115" s="28" t="s">
        <v>359</v>
      </c>
      <c r="G115" s="45">
        <v>2.1</v>
      </c>
      <c r="H115" s="45">
        <v>0.24</v>
      </c>
      <c r="I115" s="45">
        <v>0.2</v>
      </c>
      <c r="J115" s="15"/>
      <c r="K115" s="15"/>
      <c r="L115" s="15"/>
      <c r="M115" s="15"/>
      <c r="N115" s="15">
        <f t="shared" si="110"/>
        <v>2.1</v>
      </c>
      <c r="O115" s="15">
        <f t="shared" si="111"/>
        <v>0.24</v>
      </c>
      <c r="P115" s="15"/>
      <c r="Q115" s="15"/>
      <c r="R115" s="15"/>
      <c r="S115" s="15"/>
      <c r="T115" s="45">
        <f t="shared" ref="T115:T123" si="113">6.25-3.55</f>
        <v>2.7</v>
      </c>
      <c r="U115" s="45">
        <f t="shared" si="112"/>
        <v>0.84000000000000008</v>
      </c>
      <c r="V115" s="45"/>
      <c r="W115" s="15"/>
      <c r="X115" s="15"/>
      <c r="Y115" s="46">
        <f t="shared" si="90"/>
        <v>0.504</v>
      </c>
      <c r="Z115" s="46">
        <f t="shared" si="91"/>
        <v>0.1008</v>
      </c>
      <c r="AA115" s="46">
        <f t="shared" si="92"/>
        <v>0.504</v>
      </c>
      <c r="AB115" s="46">
        <f t="shared" si="93"/>
        <v>0.84000000000000008</v>
      </c>
      <c r="AC115" s="46">
        <f t="shared" si="106"/>
        <v>0.504</v>
      </c>
      <c r="AD115" s="15"/>
      <c r="AF115" s="3"/>
    </row>
    <row r="116" spans="1:32" x14ac:dyDescent="0.25">
      <c r="A116" s="25" t="s">
        <v>25</v>
      </c>
      <c r="B116" s="32"/>
      <c r="C116" s="26"/>
      <c r="D116" s="27" t="s">
        <v>201</v>
      </c>
      <c r="E116" s="29" t="s">
        <v>358</v>
      </c>
      <c r="F116" s="28" t="s">
        <v>359</v>
      </c>
      <c r="G116" s="45">
        <v>2.1</v>
      </c>
      <c r="H116" s="45">
        <v>0.24</v>
      </c>
      <c r="I116" s="45">
        <v>0.2</v>
      </c>
      <c r="J116" s="15"/>
      <c r="K116" s="15"/>
      <c r="L116" s="15"/>
      <c r="M116" s="15"/>
      <c r="N116" s="15">
        <f t="shared" si="110"/>
        <v>2.1</v>
      </c>
      <c r="O116" s="15">
        <f t="shared" si="111"/>
        <v>0.24</v>
      </c>
      <c r="P116" s="15"/>
      <c r="Q116" s="15"/>
      <c r="R116" s="15"/>
      <c r="S116" s="15"/>
      <c r="T116" s="45">
        <f t="shared" si="113"/>
        <v>2.7</v>
      </c>
      <c r="U116" s="45">
        <f t="shared" si="112"/>
        <v>0.84000000000000008</v>
      </c>
      <c r="V116" s="45"/>
      <c r="W116" s="15"/>
      <c r="X116" s="15"/>
      <c r="Y116" s="46">
        <f t="shared" si="90"/>
        <v>0.504</v>
      </c>
      <c r="Z116" s="46">
        <f t="shared" si="91"/>
        <v>0.1008</v>
      </c>
      <c r="AA116" s="46">
        <f t="shared" si="92"/>
        <v>0.504</v>
      </c>
      <c r="AB116" s="46">
        <f t="shared" si="93"/>
        <v>0.84000000000000008</v>
      </c>
      <c r="AC116" s="46">
        <f t="shared" si="106"/>
        <v>0.504</v>
      </c>
      <c r="AD116" s="15"/>
      <c r="AF116" s="3"/>
    </row>
    <row r="117" spans="1:32" x14ac:dyDescent="0.25">
      <c r="A117" s="25" t="s">
        <v>25</v>
      </c>
      <c r="B117" s="32"/>
      <c r="C117" s="26"/>
      <c r="D117" s="27" t="s">
        <v>202</v>
      </c>
      <c r="E117" s="29" t="s">
        <v>358</v>
      </c>
      <c r="F117" s="28" t="s">
        <v>359</v>
      </c>
      <c r="G117" s="45">
        <v>2.1</v>
      </c>
      <c r="H117" s="45">
        <v>0.24</v>
      </c>
      <c r="I117" s="45">
        <v>0.2</v>
      </c>
      <c r="J117" s="15"/>
      <c r="K117" s="15"/>
      <c r="L117" s="15"/>
      <c r="M117" s="15"/>
      <c r="N117" s="15">
        <f t="shared" si="110"/>
        <v>2.1</v>
      </c>
      <c r="O117" s="15">
        <f t="shared" si="111"/>
        <v>0.24</v>
      </c>
      <c r="P117" s="15"/>
      <c r="Q117" s="15"/>
      <c r="R117" s="15"/>
      <c r="S117" s="15"/>
      <c r="T117" s="45">
        <f t="shared" si="113"/>
        <v>2.7</v>
      </c>
      <c r="U117" s="45">
        <f t="shared" si="112"/>
        <v>0.84000000000000008</v>
      </c>
      <c r="V117" s="45"/>
      <c r="W117" s="15"/>
      <c r="X117" s="15"/>
      <c r="Y117" s="46">
        <f t="shared" si="90"/>
        <v>0.504</v>
      </c>
      <c r="Z117" s="46">
        <f t="shared" si="91"/>
        <v>0.1008</v>
      </c>
      <c r="AA117" s="46">
        <f t="shared" si="92"/>
        <v>0.504</v>
      </c>
      <c r="AB117" s="46">
        <f t="shared" si="93"/>
        <v>0.84000000000000008</v>
      </c>
      <c r="AC117" s="46">
        <f t="shared" si="106"/>
        <v>0.504</v>
      </c>
      <c r="AD117" s="15"/>
      <c r="AF117" s="3"/>
    </row>
    <row r="118" spans="1:32" x14ac:dyDescent="0.25">
      <c r="A118" s="25" t="s">
        <v>25</v>
      </c>
      <c r="B118" s="32"/>
      <c r="C118" s="26"/>
      <c r="D118" s="27" t="s">
        <v>203</v>
      </c>
      <c r="E118" s="29" t="s">
        <v>358</v>
      </c>
      <c r="F118" s="28" t="s">
        <v>359</v>
      </c>
      <c r="G118" s="45">
        <v>2.1</v>
      </c>
      <c r="H118" s="45">
        <v>0.24</v>
      </c>
      <c r="I118" s="45">
        <v>0.2</v>
      </c>
      <c r="J118" s="15"/>
      <c r="K118" s="15"/>
      <c r="L118" s="15"/>
      <c r="M118" s="15"/>
      <c r="N118" s="15">
        <f t="shared" si="110"/>
        <v>2.1</v>
      </c>
      <c r="O118" s="15">
        <f t="shared" si="111"/>
        <v>0.24</v>
      </c>
      <c r="P118" s="15"/>
      <c r="Q118" s="15"/>
      <c r="R118" s="15"/>
      <c r="S118" s="15"/>
      <c r="T118" s="45">
        <f t="shared" si="113"/>
        <v>2.7</v>
      </c>
      <c r="U118" s="45">
        <f t="shared" si="112"/>
        <v>0.84000000000000008</v>
      </c>
      <c r="V118" s="45"/>
      <c r="W118" s="15"/>
      <c r="X118" s="15"/>
      <c r="Y118" s="46">
        <f t="shared" si="90"/>
        <v>0.504</v>
      </c>
      <c r="Z118" s="46">
        <f t="shared" si="91"/>
        <v>0.1008</v>
      </c>
      <c r="AA118" s="46">
        <f t="shared" si="92"/>
        <v>0.504</v>
      </c>
      <c r="AB118" s="46">
        <f t="shared" si="93"/>
        <v>0.84000000000000008</v>
      </c>
      <c r="AC118" s="46">
        <f t="shared" si="106"/>
        <v>0.504</v>
      </c>
      <c r="AD118" s="15"/>
      <c r="AF118" s="3"/>
    </row>
    <row r="119" spans="1:32" x14ac:dyDescent="0.25">
      <c r="A119" s="25" t="s">
        <v>25</v>
      </c>
      <c r="B119" s="32"/>
      <c r="C119" s="26"/>
      <c r="D119" s="27" t="s">
        <v>204</v>
      </c>
      <c r="E119" s="29" t="s">
        <v>358</v>
      </c>
      <c r="F119" s="28" t="s">
        <v>359</v>
      </c>
      <c r="G119" s="45">
        <v>2.1</v>
      </c>
      <c r="H119" s="45">
        <v>0.24</v>
      </c>
      <c r="I119" s="45">
        <v>0.2</v>
      </c>
      <c r="J119" s="15"/>
      <c r="K119" s="15"/>
      <c r="L119" s="15"/>
      <c r="M119" s="15"/>
      <c r="N119" s="15">
        <f t="shared" si="110"/>
        <v>2.1</v>
      </c>
      <c r="O119" s="15">
        <f t="shared" si="111"/>
        <v>0.24</v>
      </c>
      <c r="P119" s="15"/>
      <c r="Q119" s="15"/>
      <c r="R119" s="15"/>
      <c r="S119" s="15"/>
      <c r="T119" s="45">
        <f t="shared" si="113"/>
        <v>2.7</v>
      </c>
      <c r="U119" s="45">
        <f t="shared" si="112"/>
        <v>0.84000000000000008</v>
      </c>
      <c r="V119" s="45"/>
      <c r="W119" s="15"/>
      <c r="X119" s="15"/>
      <c r="Y119" s="46">
        <f t="shared" si="90"/>
        <v>0.504</v>
      </c>
      <c r="Z119" s="46">
        <f t="shared" si="91"/>
        <v>0.1008</v>
      </c>
      <c r="AA119" s="46">
        <f t="shared" si="92"/>
        <v>0.504</v>
      </c>
      <c r="AB119" s="46">
        <f t="shared" si="93"/>
        <v>0.84000000000000008</v>
      </c>
      <c r="AC119" s="46">
        <f t="shared" si="106"/>
        <v>0.504</v>
      </c>
      <c r="AD119" s="15"/>
      <c r="AF119" s="3"/>
    </row>
    <row r="120" spans="1:32" x14ac:dyDescent="0.25">
      <c r="A120" s="25" t="s">
        <v>25</v>
      </c>
      <c r="B120" s="32"/>
      <c r="C120" s="26"/>
      <c r="D120" s="27" t="s">
        <v>205</v>
      </c>
      <c r="E120" s="29" t="s">
        <v>358</v>
      </c>
      <c r="F120" s="28" t="s">
        <v>359</v>
      </c>
      <c r="G120" s="45">
        <v>2.1</v>
      </c>
      <c r="H120" s="45">
        <v>0.24</v>
      </c>
      <c r="I120" s="45">
        <v>0.2</v>
      </c>
      <c r="J120" s="15"/>
      <c r="K120" s="15"/>
      <c r="L120" s="15"/>
      <c r="M120" s="15"/>
      <c r="N120" s="15">
        <f t="shared" si="110"/>
        <v>2.1</v>
      </c>
      <c r="O120" s="15">
        <f t="shared" si="111"/>
        <v>0.24</v>
      </c>
      <c r="P120" s="15"/>
      <c r="Q120" s="15"/>
      <c r="R120" s="15"/>
      <c r="S120" s="15"/>
      <c r="T120" s="45">
        <f t="shared" si="113"/>
        <v>2.7</v>
      </c>
      <c r="U120" s="45">
        <f t="shared" si="112"/>
        <v>0.84000000000000008</v>
      </c>
      <c r="V120" s="45"/>
      <c r="W120" s="15"/>
      <c r="X120" s="15"/>
      <c r="Y120" s="46">
        <f t="shared" si="90"/>
        <v>0.504</v>
      </c>
      <c r="Z120" s="46">
        <f t="shared" si="91"/>
        <v>0.1008</v>
      </c>
      <c r="AA120" s="46">
        <f t="shared" si="92"/>
        <v>0.504</v>
      </c>
      <c r="AB120" s="46">
        <f t="shared" si="93"/>
        <v>0.84000000000000008</v>
      </c>
      <c r="AC120" s="46">
        <f t="shared" si="106"/>
        <v>0.504</v>
      </c>
      <c r="AD120" s="15"/>
      <c r="AF120" s="3"/>
    </row>
    <row r="121" spans="1:32" x14ac:dyDescent="0.25">
      <c r="A121" s="25" t="s">
        <v>25</v>
      </c>
      <c r="B121" s="32"/>
      <c r="C121" s="26"/>
      <c r="D121" s="27" t="s">
        <v>206</v>
      </c>
      <c r="E121" s="29" t="s">
        <v>358</v>
      </c>
      <c r="F121" s="28" t="s">
        <v>359</v>
      </c>
      <c r="G121" s="45">
        <v>2.1</v>
      </c>
      <c r="H121" s="45">
        <v>0.24</v>
      </c>
      <c r="I121" s="45">
        <v>0.2</v>
      </c>
      <c r="J121" s="15"/>
      <c r="K121" s="15"/>
      <c r="L121" s="15"/>
      <c r="M121" s="15"/>
      <c r="N121" s="15">
        <f t="shared" si="110"/>
        <v>2.1</v>
      </c>
      <c r="O121" s="15">
        <f t="shared" si="111"/>
        <v>0.24</v>
      </c>
      <c r="P121" s="15"/>
      <c r="Q121" s="15"/>
      <c r="R121" s="15"/>
      <c r="S121" s="15"/>
      <c r="T121" s="45">
        <f t="shared" si="113"/>
        <v>2.7</v>
      </c>
      <c r="U121" s="45">
        <f t="shared" si="112"/>
        <v>0.84000000000000008</v>
      </c>
      <c r="V121" s="45"/>
      <c r="W121" s="15"/>
      <c r="X121" s="15"/>
      <c r="Y121" s="46">
        <f t="shared" si="90"/>
        <v>0.504</v>
      </c>
      <c r="Z121" s="46">
        <f t="shared" si="91"/>
        <v>0.1008</v>
      </c>
      <c r="AA121" s="46">
        <f t="shared" si="92"/>
        <v>0.504</v>
      </c>
      <c r="AB121" s="46">
        <f t="shared" si="93"/>
        <v>0.84000000000000008</v>
      </c>
      <c r="AC121" s="46">
        <f t="shared" si="106"/>
        <v>0.504</v>
      </c>
      <c r="AD121" s="15"/>
      <c r="AF121" s="3"/>
    </row>
    <row r="122" spans="1:32" x14ac:dyDescent="0.25">
      <c r="A122" s="25" t="s">
        <v>25</v>
      </c>
      <c r="B122" s="32"/>
      <c r="C122" s="26"/>
      <c r="D122" s="27" t="s">
        <v>207</v>
      </c>
      <c r="E122" s="29" t="s">
        <v>358</v>
      </c>
      <c r="F122" s="28" t="s">
        <v>359</v>
      </c>
      <c r="G122" s="45">
        <v>0.6</v>
      </c>
      <c r="H122" s="45">
        <v>0.24</v>
      </c>
      <c r="I122" s="45">
        <v>0.2</v>
      </c>
      <c r="J122" s="15"/>
      <c r="K122" s="15"/>
      <c r="L122" s="15"/>
      <c r="M122" s="15"/>
      <c r="N122" s="15">
        <f t="shared" ref="N122:N123" si="114">G122</f>
        <v>0.6</v>
      </c>
      <c r="O122" s="15">
        <f t="shared" ref="O122:O123" si="115">H122</f>
        <v>0.24</v>
      </c>
      <c r="P122" s="15"/>
      <c r="Q122" s="15"/>
      <c r="R122" s="15"/>
      <c r="S122" s="15"/>
      <c r="T122" s="45">
        <f t="shared" si="113"/>
        <v>2.7</v>
      </c>
      <c r="U122" s="45">
        <f t="shared" ref="U122:U123" si="116">G122*2*I122</f>
        <v>0.24</v>
      </c>
      <c r="V122" s="45"/>
      <c r="W122" s="15"/>
      <c r="X122" s="15"/>
      <c r="Y122" s="46">
        <f t="shared" si="90"/>
        <v>0.14399999999999999</v>
      </c>
      <c r="Z122" s="46">
        <f t="shared" si="91"/>
        <v>2.8799999999999999E-2</v>
      </c>
      <c r="AA122" s="46">
        <f t="shared" si="92"/>
        <v>0.14399999999999999</v>
      </c>
      <c r="AB122" s="46">
        <f t="shared" si="93"/>
        <v>0.24</v>
      </c>
      <c r="AC122" s="46">
        <f t="shared" si="106"/>
        <v>0.14399999999999999</v>
      </c>
      <c r="AD122" s="15"/>
      <c r="AF122" s="3"/>
    </row>
    <row r="123" spans="1:32" x14ac:dyDescent="0.25">
      <c r="A123" s="25" t="s">
        <v>25</v>
      </c>
      <c r="B123" s="32"/>
      <c r="C123" s="26"/>
      <c r="D123" s="27" t="s">
        <v>208</v>
      </c>
      <c r="E123" s="29" t="s">
        <v>358</v>
      </c>
      <c r="F123" s="28" t="s">
        <v>359</v>
      </c>
      <c r="G123" s="45">
        <v>2.62</v>
      </c>
      <c r="H123" s="45">
        <v>0.24</v>
      </c>
      <c r="I123" s="45">
        <v>0.2</v>
      </c>
      <c r="J123" s="15"/>
      <c r="K123" s="15"/>
      <c r="L123" s="15"/>
      <c r="M123" s="15"/>
      <c r="N123" s="15">
        <f t="shared" si="114"/>
        <v>2.62</v>
      </c>
      <c r="O123" s="15">
        <f t="shared" si="115"/>
        <v>0.24</v>
      </c>
      <c r="P123" s="15"/>
      <c r="Q123" s="15"/>
      <c r="R123" s="15"/>
      <c r="S123" s="15"/>
      <c r="T123" s="45">
        <f t="shared" si="113"/>
        <v>2.7</v>
      </c>
      <c r="U123" s="45">
        <f t="shared" si="116"/>
        <v>1.048</v>
      </c>
      <c r="V123" s="45"/>
      <c r="W123" s="15"/>
      <c r="X123" s="15"/>
      <c r="Y123" s="46">
        <f t="shared" si="90"/>
        <v>0.62880000000000003</v>
      </c>
      <c r="Z123" s="46">
        <f t="shared" si="91"/>
        <v>0.12576000000000001</v>
      </c>
      <c r="AA123" s="46">
        <f t="shared" si="92"/>
        <v>0.62880000000000003</v>
      </c>
      <c r="AB123" s="46">
        <f t="shared" si="93"/>
        <v>1.048</v>
      </c>
      <c r="AC123" s="46">
        <f t="shared" si="106"/>
        <v>0.62880000000000003</v>
      </c>
      <c r="AD123" s="15"/>
      <c r="AF123" s="3"/>
    </row>
    <row r="124" spans="1:32" x14ac:dyDescent="0.25">
      <c r="A124" s="25" t="s">
        <v>25</v>
      </c>
      <c r="B124" s="32"/>
      <c r="C124" s="26"/>
      <c r="D124" s="27" t="s">
        <v>209</v>
      </c>
      <c r="E124" s="29" t="s">
        <v>358</v>
      </c>
      <c r="F124" s="28" t="s">
        <v>359</v>
      </c>
      <c r="G124" s="45">
        <v>1.62</v>
      </c>
      <c r="H124" s="45">
        <v>0.2</v>
      </c>
      <c r="I124" s="45">
        <v>0.25</v>
      </c>
      <c r="J124" s="15"/>
      <c r="K124" s="15"/>
      <c r="L124" s="15"/>
      <c r="M124" s="15"/>
      <c r="N124" s="15">
        <f t="shared" ref="N124:N125" si="117">G124</f>
        <v>1.62</v>
      </c>
      <c r="O124" s="15">
        <f t="shared" ref="O124:O125" si="118">H124</f>
        <v>0.2</v>
      </c>
      <c r="P124" s="15"/>
      <c r="Q124" s="15"/>
      <c r="R124" s="15"/>
      <c r="S124" s="15"/>
      <c r="T124" s="45">
        <f>6.03-3.55</f>
        <v>2.4800000000000004</v>
      </c>
      <c r="U124" s="45">
        <f t="shared" ref="U124:U125" si="119">G124*2*I124</f>
        <v>0.81</v>
      </c>
      <c r="V124" s="45"/>
      <c r="W124" s="15"/>
      <c r="X124" s="15"/>
      <c r="Y124" s="46">
        <f t="shared" si="90"/>
        <v>0.32400000000000007</v>
      </c>
      <c r="Z124" s="46">
        <f t="shared" si="91"/>
        <v>8.1000000000000016E-2</v>
      </c>
      <c r="AA124" s="46">
        <f t="shared" si="92"/>
        <v>0.32400000000000007</v>
      </c>
      <c r="AB124" s="46">
        <f t="shared" si="93"/>
        <v>0.81</v>
      </c>
      <c r="AC124" s="46">
        <f t="shared" si="106"/>
        <v>0.32400000000000007</v>
      </c>
      <c r="AD124" s="15"/>
      <c r="AF124" s="3"/>
    </row>
    <row r="125" spans="1:32" x14ac:dyDescent="0.25">
      <c r="A125" s="25" t="s">
        <v>25</v>
      </c>
      <c r="B125" s="32"/>
      <c r="C125" s="26"/>
      <c r="D125" s="27" t="s">
        <v>210</v>
      </c>
      <c r="E125" s="29" t="s">
        <v>358</v>
      </c>
      <c r="F125" s="28" t="s">
        <v>359</v>
      </c>
      <c r="G125" s="45">
        <v>1.22</v>
      </c>
      <c r="H125" s="45">
        <v>0.2</v>
      </c>
      <c r="I125" s="45">
        <v>0.25</v>
      </c>
      <c r="J125" s="15"/>
      <c r="K125" s="15"/>
      <c r="L125" s="15"/>
      <c r="M125" s="15"/>
      <c r="N125" s="15">
        <f t="shared" si="117"/>
        <v>1.22</v>
      </c>
      <c r="O125" s="15">
        <f t="shared" si="118"/>
        <v>0.2</v>
      </c>
      <c r="P125" s="15"/>
      <c r="Q125" s="15"/>
      <c r="R125" s="15"/>
      <c r="S125" s="15"/>
      <c r="T125" s="45">
        <f>6.03-3.55</f>
        <v>2.4800000000000004</v>
      </c>
      <c r="U125" s="45">
        <f t="shared" si="119"/>
        <v>0.61</v>
      </c>
      <c r="V125" s="45"/>
      <c r="W125" s="15"/>
      <c r="X125" s="15"/>
      <c r="Y125" s="46">
        <f t="shared" si="90"/>
        <v>0.24399999999999999</v>
      </c>
      <c r="Z125" s="46">
        <f t="shared" si="91"/>
        <v>6.0999999999999999E-2</v>
      </c>
      <c r="AA125" s="46">
        <f t="shared" si="92"/>
        <v>0.24399999999999999</v>
      </c>
      <c r="AB125" s="46">
        <f t="shared" si="93"/>
        <v>0.61</v>
      </c>
      <c r="AC125" s="46">
        <f t="shared" si="106"/>
        <v>0.24399999999999999</v>
      </c>
      <c r="AD125" s="15"/>
      <c r="AF125" s="3"/>
    </row>
    <row r="126" spans="1:32" x14ac:dyDescent="0.25">
      <c r="A126" s="25" t="s">
        <v>25</v>
      </c>
      <c r="B126" s="32"/>
      <c r="C126" s="26"/>
      <c r="D126" s="27" t="s">
        <v>211</v>
      </c>
      <c r="E126" s="29" t="s">
        <v>358</v>
      </c>
      <c r="F126" s="28" t="s">
        <v>359</v>
      </c>
      <c r="G126" s="45">
        <v>1.25</v>
      </c>
      <c r="H126" s="45">
        <v>0.19</v>
      </c>
      <c r="I126" s="45">
        <v>0.25</v>
      </c>
      <c r="J126" s="15"/>
      <c r="K126" s="15"/>
      <c r="L126" s="15"/>
      <c r="M126" s="15"/>
      <c r="N126" s="15">
        <f t="shared" ref="N126" si="120">G126</f>
        <v>1.25</v>
      </c>
      <c r="O126" s="15">
        <f t="shared" ref="O126" si="121">H126</f>
        <v>0.19</v>
      </c>
      <c r="P126" s="15"/>
      <c r="Q126" s="15"/>
      <c r="R126" s="15"/>
      <c r="S126" s="15"/>
      <c r="T126" s="45">
        <v>1.9</v>
      </c>
      <c r="U126" s="45">
        <f t="shared" ref="U126" si="122">G126*2*I126</f>
        <v>0.625</v>
      </c>
      <c r="V126" s="45"/>
      <c r="W126" s="15"/>
      <c r="X126" s="15"/>
      <c r="Y126" s="46">
        <f t="shared" ref="Y126:Y128" si="123">IF(((G126*H126)+J126-K126+L126)=0,"",((G126*H126)+J126-K126+L126))</f>
        <v>0.23749999999999999</v>
      </c>
      <c r="Z126" s="46">
        <f t="shared" ref="Z126:Z128" si="124">IF(PRODUCT(Y126,I126)+M126=0,"",Y126*I126+M126)</f>
        <v>5.9374999999999997E-2</v>
      </c>
      <c r="AA126" s="46">
        <f t="shared" ref="AA126:AA128" si="125">IF((N126*O126+P126-Q126-R126+S126)=0,"",(N126*O126+P126-Q126-R126+S126))</f>
        <v>0.23749999999999999</v>
      </c>
      <c r="AB126" s="46">
        <f t="shared" ref="AB126:AB128" si="126">IF((U126+V126-W126+X126)=0,"",(U126+V126-W126+X126))</f>
        <v>0.625</v>
      </c>
      <c r="AC126" s="46">
        <f t="shared" ref="AC126:AC128" si="127">IF((N126*O126+P126-Q126-R126+S126)=0,"",(N126*O126+P126-Q126-R126+S126))</f>
        <v>0.23749999999999999</v>
      </c>
      <c r="AD126" s="15"/>
      <c r="AF126" s="3"/>
    </row>
    <row r="127" spans="1:32" x14ac:dyDescent="0.25">
      <c r="A127" s="25" t="s">
        <v>25</v>
      </c>
      <c r="B127" s="32"/>
      <c r="C127" s="26"/>
      <c r="D127" s="27" t="s">
        <v>212</v>
      </c>
      <c r="E127" s="29" t="s">
        <v>358</v>
      </c>
      <c r="F127" s="28" t="s">
        <v>359</v>
      </c>
      <c r="G127" s="45">
        <v>1.25</v>
      </c>
      <c r="H127" s="45">
        <v>0.19</v>
      </c>
      <c r="I127" s="45">
        <v>0.25</v>
      </c>
      <c r="J127" s="15"/>
      <c r="K127" s="15"/>
      <c r="L127" s="15"/>
      <c r="M127" s="15"/>
      <c r="N127" s="15">
        <f t="shared" ref="N127:N128" si="128">G127</f>
        <v>1.25</v>
      </c>
      <c r="O127" s="15">
        <f t="shared" ref="O127:O128" si="129">H127</f>
        <v>0.19</v>
      </c>
      <c r="P127" s="15"/>
      <c r="Q127" s="15"/>
      <c r="R127" s="15"/>
      <c r="S127" s="15"/>
      <c r="T127" s="45">
        <v>1.9</v>
      </c>
      <c r="U127" s="45">
        <f t="shared" ref="U127" si="130">G127*2*I127</f>
        <v>0.625</v>
      </c>
      <c r="V127" s="45"/>
      <c r="W127" s="15"/>
      <c r="X127" s="15"/>
      <c r="Y127" s="46">
        <f t="shared" si="123"/>
        <v>0.23749999999999999</v>
      </c>
      <c r="Z127" s="46">
        <f t="shared" si="124"/>
        <v>5.9374999999999997E-2</v>
      </c>
      <c r="AA127" s="46">
        <f t="shared" si="125"/>
        <v>0.23749999999999999</v>
      </c>
      <c r="AB127" s="46">
        <f t="shared" si="126"/>
        <v>0.625</v>
      </c>
      <c r="AC127" s="46">
        <f t="shared" si="127"/>
        <v>0.23749999999999999</v>
      </c>
      <c r="AD127" s="15"/>
      <c r="AF127" s="3"/>
    </row>
    <row r="128" spans="1:32" x14ac:dyDescent="0.25">
      <c r="A128" s="25" t="s">
        <v>25</v>
      </c>
      <c r="B128" s="32"/>
      <c r="C128" s="26"/>
      <c r="D128" s="27" t="s">
        <v>387</v>
      </c>
      <c r="E128" s="29" t="s">
        <v>388</v>
      </c>
      <c r="F128" s="28" t="s">
        <v>477</v>
      </c>
      <c r="G128" s="45">
        <v>4.16</v>
      </c>
      <c r="H128" s="45">
        <v>0.67500000000000004</v>
      </c>
      <c r="I128" s="45">
        <v>0.2</v>
      </c>
      <c r="J128" s="15"/>
      <c r="K128" s="15"/>
      <c r="L128" s="15"/>
      <c r="M128" s="15"/>
      <c r="N128" s="15">
        <f t="shared" si="128"/>
        <v>4.16</v>
      </c>
      <c r="O128" s="15">
        <f t="shared" si="129"/>
        <v>0.67500000000000004</v>
      </c>
      <c r="P128" s="15"/>
      <c r="Q128" s="15"/>
      <c r="R128" s="15"/>
      <c r="S128" s="15"/>
      <c r="T128" s="45"/>
      <c r="U128" s="45"/>
      <c r="V128" s="45"/>
      <c r="W128" s="15"/>
      <c r="X128" s="15"/>
      <c r="Y128" s="46">
        <f t="shared" si="123"/>
        <v>2.8080000000000003</v>
      </c>
      <c r="Z128" s="46">
        <f t="shared" si="124"/>
        <v>0.5616000000000001</v>
      </c>
      <c r="AA128" s="46">
        <f t="shared" si="125"/>
        <v>2.8080000000000003</v>
      </c>
      <c r="AB128" s="46" t="str">
        <f t="shared" si="126"/>
        <v/>
      </c>
      <c r="AC128" s="46">
        <f t="shared" si="127"/>
        <v>2.8080000000000003</v>
      </c>
      <c r="AD128" s="15"/>
      <c r="AF128" s="3"/>
    </row>
    <row r="129" spans="1:32" x14ac:dyDescent="0.25">
      <c r="A129" s="25" t="s">
        <v>25</v>
      </c>
      <c r="B129" s="32"/>
      <c r="C129" s="26"/>
      <c r="D129" s="27" t="s">
        <v>390</v>
      </c>
      <c r="E129" s="29" t="s">
        <v>388</v>
      </c>
      <c r="F129" s="28" t="s">
        <v>477</v>
      </c>
      <c r="G129" s="45">
        <v>5.0199999999999996</v>
      </c>
      <c r="H129" s="45">
        <v>0.54</v>
      </c>
      <c r="I129" s="45">
        <v>0.2</v>
      </c>
      <c r="J129" s="15"/>
      <c r="K129" s="15"/>
      <c r="L129" s="15"/>
      <c r="M129" s="15"/>
      <c r="N129" s="15">
        <f t="shared" ref="N129:N132" si="131">G129</f>
        <v>5.0199999999999996</v>
      </c>
      <c r="O129" s="15">
        <f t="shared" ref="O129:O132" si="132">H129</f>
        <v>0.54</v>
      </c>
      <c r="P129" s="15"/>
      <c r="Q129" s="15"/>
      <c r="R129" s="15"/>
      <c r="S129" s="15"/>
      <c r="T129" s="45"/>
      <c r="U129" s="45"/>
      <c r="V129" s="45"/>
      <c r="W129" s="15"/>
      <c r="X129" s="15"/>
      <c r="Y129" s="46">
        <f t="shared" ref="Y129:Y130" si="133">IF(((G129*H129)+J129-K129+L129)=0,"",((G129*H129)+J129-K129+L129))</f>
        <v>2.7107999999999999</v>
      </c>
      <c r="Z129" s="46">
        <f t="shared" ref="Z129:Z130" si="134">IF(PRODUCT(Y129,I129)+M129=0,"",Y129*I129+M129)</f>
        <v>0.54215999999999998</v>
      </c>
      <c r="AA129" s="46">
        <f t="shared" ref="AA129:AA130" si="135">IF((N129*O129+P129-Q129-R129+S129)=0,"",(N129*O129+P129-Q129-R129+S129))</f>
        <v>2.7107999999999999</v>
      </c>
      <c r="AB129" s="46" t="str">
        <f t="shared" ref="AB129:AB130" si="136">IF((U129+V129-W129+X129)=0,"",(U129+V129-W129+X129))</f>
        <v/>
      </c>
      <c r="AC129" s="46">
        <f t="shared" ref="AC129:AC130" si="137">IF((N129*O129+P129-Q129-R129+S129)=0,"",(N129*O129+P129-Q129-R129+S129))</f>
        <v>2.7107999999999999</v>
      </c>
      <c r="AD129" s="15"/>
      <c r="AF129" s="3"/>
    </row>
    <row r="130" spans="1:32" x14ac:dyDescent="0.25">
      <c r="A130" s="25" t="s">
        <v>25</v>
      </c>
      <c r="B130" s="32"/>
      <c r="C130" s="26"/>
      <c r="D130" s="27" t="s">
        <v>411</v>
      </c>
      <c r="E130" s="29" t="s">
        <v>388</v>
      </c>
      <c r="F130" s="28" t="s">
        <v>477</v>
      </c>
      <c r="G130" s="45">
        <v>4.03</v>
      </c>
      <c r="H130" s="45">
        <v>0.3</v>
      </c>
      <c r="I130" s="45">
        <v>0.2</v>
      </c>
      <c r="J130" s="15"/>
      <c r="K130" s="15"/>
      <c r="L130" s="15"/>
      <c r="M130" s="15"/>
      <c r="N130" s="15">
        <f t="shared" si="131"/>
        <v>4.03</v>
      </c>
      <c r="O130" s="15">
        <f t="shared" si="132"/>
        <v>0.3</v>
      </c>
      <c r="P130" s="15"/>
      <c r="Q130" s="15"/>
      <c r="R130" s="15"/>
      <c r="S130" s="15"/>
      <c r="T130" s="45"/>
      <c r="U130" s="45"/>
      <c r="V130" s="45"/>
      <c r="W130" s="15"/>
      <c r="X130" s="15"/>
      <c r="Y130" s="46">
        <f t="shared" si="133"/>
        <v>1.2090000000000001</v>
      </c>
      <c r="Z130" s="46">
        <f t="shared" si="134"/>
        <v>0.24180000000000001</v>
      </c>
      <c r="AA130" s="46">
        <f t="shared" si="135"/>
        <v>1.2090000000000001</v>
      </c>
      <c r="AB130" s="46" t="str">
        <f t="shared" si="136"/>
        <v/>
      </c>
      <c r="AC130" s="46">
        <f t="shared" si="137"/>
        <v>1.2090000000000001</v>
      </c>
      <c r="AD130" s="15"/>
      <c r="AF130" s="3"/>
    </row>
    <row r="131" spans="1:32" x14ac:dyDescent="0.25">
      <c r="A131" s="25" t="s">
        <v>25</v>
      </c>
      <c r="B131" s="32"/>
      <c r="C131" s="26"/>
      <c r="D131" s="27" t="s">
        <v>412</v>
      </c>
      <c r="E131" s="29" t="s">
        <v>577</v>
      </c>
      <c r="F131" s="28" t="s">
        <v>576</v>
      </c>
      <c r="G131" s="45">
        <v>8.64</v>
      </c>
      <c r="H131" s="45">
        <v>0.1</v>
      </c>
      <c r="I131" s="45">
        <v>0.32</v>
      </c>
      <c r="J131" s="15"/>
      <c r="K131" s="15"/>
      <c r="L131" s="15"/>
      <c r="M131" s="15"/>
      <c r="N131" s="15">
        <f t="shared" si="131"/>
        <v>8.64</v>
      </c>
      <c r="O131" s="15">
        <f t="shared" si="132"/>
        <v>0.1</v>
      </c>
      <c r="P131" s="15"/>
      <c r="Q131" s="15"/>
      <c r="R131" s="15"/>
      <c r="S131" s="15"/>
      <c r="T131" s="45">
        <f>6.28-3.55</f>
        <v>2.7300000000000004</v>
      </c>
      <c r="U131" s="45"/>
      <c r="V131" s="45"/>
      <c r="W131" s="15"/>
      <c r="X131" s="15"/>
      <c r="Y131" s="46">
        <f t="shared" ref="Y131:Y133" si="138">IF(((G131*H131)+J131-K131+L131)=0,"",((G131*H131)+J131-K131+L131))</f>
        <v>0.8640000000000001</v>
      </c>
      <c r="Z131" s="46">
        <f t="shared" ref="Z131:Z133" si="139">IF(PRODUCT(Y131,I131)+M131=0,"",Y131*I131+M131)</f>
        <v>0.27648000000000006</v>
      </c>
      <c r="AA131" s="46">
        <f t="shared" ref="AA131:AA133" si="140">IF((N131*O131+P131-Q131-R131+S131)=0,"",(N131*O131+P131-Q131-R131+S131))</f>
        <v>0.8640000000000001</v>
      </c>
      <c r="AB131" s="46" t="str">
        <f t="shared" ref="AB131:AB132" si="141">IF((U131+V131-W131+X131)=0,"",(U131+V131-W131+X131))</f>
        <v/>
      </c>
      <c r="AC131" s="46">
        <f t="shared" ref="AC131:AC133" si="142">IF((N131*O131+P131-Q131-R131+S131)=0,"",(N131*O131+P131-Q131-R131+S131))</f>
        <v>0.8640000000000001</v>
      </c>
      <c r="AD131" s="15"/>
      <c r="AF131" s="3"/>
    </row>
    <row r="132" spans="1:32" x14ac:dyDescent="0.25">
      <c r="A132" s="25" t="s">
        <v>25</v>
      </c>
      <c r="B132" s="32"/>
      <c r="C132" s="26"/>
      <c r="D132" s="27" t="s">
        <v>414</v>
      </c>
      <c r="E132" s="29" t="s">
        <v>577</v>
      </c>
      <c r="F132" s="28" t="s">
        <v>576</v>
      </c>
      <c r="G132" s="45">
        <v>9.44</v>
      </c>
      <c r="H132" s="45">
        <v>0.1</v>
      </c>
      <c r="I132" s="45">
        <v>0.32</v>
      </c>
      <c r="J132" s="15"/>
      <c r="K132" s="15"/>
      <c r="L132" s="15"/>
      <c r="M132" s="15"/>
      <c r="N132" s="15">
        <f t="shared" si="131"/>
        <v>9.44</v>
      </c>
      <c r="O132" s="15">
        <f t="shared" si="132"/>
        <v>0.1</v>
      </c>
      <c r="P132" s="15"/>
      <c r="Q132" s="15"/>
      <c r="R132" s="15"/>
      <c r="S132" s="15"/>
      <c r="T132" s="45"/>
      <c r="U132" s="45"/>
      <c r="V132" s="45"/>
      <c r="W132" s="15"/>
      <c r="X132" s="15"/>
      <c r="Y132" s="46">
        <f t="shared" si="138"/>
        <v>0.94399999999999995</v>
      </c>
      <c r="Z132" s="46">
        <f t="shared" si="139"/>
        <v>0.30208000000000002</v>
      </c>
      <c r="AA132" s="46">
        <f t="shared" si="140"/>
        <v>0.94399999999999995</v>
      </c>
      <c r="AB132" s="46" t="str">
        <f t="shared" si="141"/>
        <v/>
      </c>
      <c r="AC132" s="46">
        <f t="shared" si="142"/>
        <v>0.94399999999999995</v>
      </c>
      <c r="AD132" s="15"/>
      <c r="AF132" s="3"/>
    </row>
    <row r="133" spans="1:32" x14ac:dyDescent="0.25">
      <c r="A133" s="25" t="s">
        <v>25</v>
      </c>
      <c r="B133" s="32"/>
      <c r="C133" s="26"/>
      <c r="D133" s="27"/>
      <c r="E133" s="29" t="s">
        <v>581</v>
      </c>
      <c r="F133" s="28" t="s">
        <v>580</v>
      </c>
      <c r="G133" s="45">
        <v>8.64</v>
      </c>
      <c r="H133" s="45">
        <v>0.04</v>
      </c>
      <c r="I133" s="45">
        <v>1</v>
      </c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45"/>
      <c r="U133" s="45"/>
      <c r="V133" s="45"/>
      <c r="W133" s="15"/>
      <c r="X133" s="15"/>
      <c r="Y133" s="46">
        <f t="shared" si="138"/>
        <v>0.34560000000000002</v>
      </c>
      <c r="Z133" s="46">
        <f t="shared" si="139"/>
        <v>0.34560000000000002</v>
      </c>
      <c r="AA133" s="46" t="str">
        <f t="shared" si="140"/>
        <v/>
      </c>
      <c r="AB133" s="46"/>
      <c r="AC133" s="46" t="str">
        <f t="shared" si="142"/>
        <v/>
      </c>
      <c r="AD133" s="15"/>
      <c r="AF133" s="3"/>
    </row>
    <row r="134" spans="1:32" x14ac:dyDescent="0.25">
      <c r="A134" s="25" t="s">
        <v>25</v>
      </c>
      <c r="B134" s="32"/>
      <c r="C134" s="26"/>
      <c r="D134" s="27"/>
      <c r="E134" s="29" t="s">
        <v>581</v>
      </c>
      <c r="F134" s="28" t="s">
        <v>580</v>
      </c>
      <c r="G134" s="45">
        <v>9.44</v>
      </c>
      <c r="H134" s="45">
        <v>0.04</v>
      </c>
      <c r="I134" s="45">
        <v>1</v>
      </c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45"/>
      <c r="U134" s="45"/>
      <c r="V134" s="45"/>
      <c r="W134" s="15"/>
      <c r="X134" s="15"/>
      <c r="Y134" s="46">
        <f t="shared" ref="Y134" si="143">IF(((G134*H134)+J134-K134+L134)=0,"",((G134*H134)+J134-K134+L134))</f>
        <v>0.37759999999999999</v>
      </c>
      <c r="Z134" s="46">
        <f t="shared" ref="Z134" si="144">IF(PRODUCT(Y134,I134)+M134=0,"",Y134*I134+M134)</f>
        <v>0.37759999999999999</v>
      </c>
      <c r="AA134" s="46" t="str">
        <f t="shared" ref="AA134" si="145">IF((N134*O134+P134-Q134-R134+S134)=0,"",(N134*O134+P134-Q134-R134+S134))</f>
        <v/>
      </c>
      <c r="AB134" s="46"/>
      <c r="AC134" s="46" t="str">
        <f t="shared" ref="AC134" si="146">IF((N134*O134+P134-Q134-R134+S134)=0,"",(N134*O134+P134-Q134-R134+S134))</f>
        <v/>
      </c>
      <c r="AD134" s="15"/>
      <c r="AF134" s="3"/>
    </row>
    <row r="135" spans="1:32" x14ac:dyDescent="0.25">
      <c r="A135" s="25" t="s">
        <v>25</v>
      </c>
      <c r="B135" s="32"/>
      <c r="C135" s="26"/>
      <c r="D135" s="27" t="s">
        <v>312</v>
      </c>
      <c r="E135" s="29" t="s">
        <v>311</v>
      </c>
      <c r="F135" s="28" t="s">
        <v>484</v>
      </c>
      <c r="G135" s="45">
        <v>39.85</v>
      </c>
      <c r="H135" s="45">
        <v>0.24</v>
      </c>
      <c r="I135" s="45">
        <f>6.7-6.45</f>
        <v>0.25</v>
      </c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45"/>
      <c r="U135" s="45">
        <f>G135*0.15+G135*0.05</f>
        <v>7.9700000000000006</v>
      </c>
      <c r="V135" s="45"/>
      <c r="W135" s="15"/>
      <c r="X135" s="15"/>
      <c r="Y135" s="46">
        <f t="shared" ref="Y135:Y167" si="147">IF(((G135*H135)+J135-K135+L135)=0,"",((G135*H135)+J135-K135+L135))</f>
        <v>9.5640000000000001</v>
      </c>
      <c r="Z135" s="46">
        <f t="shared" ref="Z135:Z167" si="148">IF(PRODUCT(Y135,I135)+M135=0,"",Y135*I135+M135)</f>
        <v>2.391</v>
      </c>
      <c r="AA135" s="46" t="str">
        <f t="shared" ref="AA135:AA167" si="149">IF((N135*O135+P135-Q135-R135+S135)=0,"",(N135*O135+P135-Q135-R135+S135))</f>
        <v/>
      </c>
      <c r="AB135" s="46">
        <f t="shared" ref="AB135:AB167" si="150">IF((U135+V135-W135+X135)=0,"",(U135+V135-W135+X135))</f>
        <v>7.9700000000000006</v>
      </c>
      <c r="AC135" s="46" t="str">
        <f t="shared" ref="AC135:AC167" si="151">IF((N135*O135+P135-Q135-R135+S135)=0,"",(N135*O135+P135-Q135-R135+S135))</f>
        <v/>
      </c>
      <c r="AD135" s="15"/>
      <c r="AF135" s="3"/>
    </row>
    <row r="136" spans="1:32" x14ac:dyDescent="0.25">
      <c r="A136" s="25" t="s">
        <v>25</v>
      </c>
      <c r="B136" s="32"/>
      <c r="C136" s="26"/>
      <c r="D136" s="27" t="s">
        <v>313</v>
      </c>
      <c r="E136" s="29" t="s">
        <v>311</v>
      </c>
      <c r="F136" s="28" t="s">
        <v>484</v>
      </c>
      <c r="G136" s="45">
        <v>9.7200000000000006</v>
      </c>
      <c r="H136" s="45">
        <v>0.24</v>
      </c>
      <c r="I136" s="45">
        <f t="shared" ref="I136:I145" si="152">6.7-6.45</f>
        <v>0.25</v>
      </c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45"/>
      <c r="U136" s="45">
        <f t="shared" ref="U136:U141" si="153">G136*0.15+G136*0.05</f>
        <v>1.944</v>
      </c>
      <c r="V136" s="45"/>
      <c r="W136" s="15"/>
      <c r="X136" s="15"/>
      <c r="Y136" s="46">
        <f t="shared" si="147"/>
        <v>2.3328000000000002</v>
      </c>
      <c r="Z136" s="46">
        <f t="shared" si="148"/>
        <v>0.58320000000000005</v>
      </c>
      <c r="AA136" s="46" t="str">
        <f t="shared" si="149"/>
        <v/>
      </c>
      <c r="AB136" s="46">
        <f t="shared" si="150"/>
        <v>1.944</v>
      </c>
      <c r="AC136" s="46" t="str">
        <f t="shared" si="151"/>
        <v/>
      </c>
      <c r="AD136" s="15"/>
      <c r="AF136" s="3"/>
    </row>
    <row r="137" spans="1:32" x14ac:dyDescent="0.25">
      <c r="A137" s="25" t="s">
        <v>25</v>
      </c>
      <c r="B137" s="32"/>
      <c r="C137" s="26"/>
      <c r="D137" s="27" t="s">
        <v>314</v>
      </c>
      <c r="E137" s="29" t="s">
        <v>311</v>
      </c>
      <c r="F137" s="28" t="s">
        <v>484</v>
      </c>
      <c r="G137" s="45">
        <v>4.3600000000000003</v>
      </c>
      <c r="H137" s="45">
        <v>0.24</v>
      </c>
      <c r="I137" s="45">
        <f t="shared" si="152"/>
        <v>0.25</v>
      </c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45"/>
      <c r="U137" s="45">
        <f t="shared" si="153"/>
        <v>0.87200000000000011</v>
      </c>
      <c r="V137" s="45"/>
      <c r="W137" s="15"/>
      <c r="X137" s="15"/>
      <c r="Y137" s="46">
        <f t="shared" si="147"/>
        <v>1.0464</v>
      </c>
      <c r="Z137" s="46">
        <f t="shared" si="148"/>
        <v>0.2616</v>
      </c>
      <c r="AA137" s="46" t="str">
        <f t="shared" si="149"/>
        <v/>
      </c>
      <c r="AB137" s="46">
        <f t="shared" si="150"/>
        <v>0.87200000000000011</v>
      </c>
      <c r="AC137" s="46" t="str">
        <f t="shared" si="151"/>
        <v/>
      </c>
      <c r="AD137" s="15"/>
      <c r="AF137" s="3"/>
    </row>
    <row r="138" spans="1:32" x14ac:dyDescent="0.25">
      <c r="A138" s="25" t="s">
        <v>25</v>
      </c>
      <c r="B138" s="32"/>
      <c r="C138" s="26"/>
      <c r="D138" s="27" t="s">
        <v>315</v>
      </c>
      <c r="E138" s="29" t="s">
        <v>311</v>
      </c>
      <c r="F138" s="28" t="s">
        <v>484</v>
      </c>
      <c r="G138" s="45">
        <v>19.850000000000001</v>
      </c>
      <c r="H138" s="45">
        <v>0.24</v>
      </c>
      <c r="I138" s="45">
        <f t="shared" si="152"/>
        <v>0.25</v>
      </c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45"/>
      <c r="U138" s="45">
        <f t="shared" si="153"/>
        <v>3.97</v>
      </c>
      <c r="V138" s="45"/>
      <c r="W138" s="15"/>
      <c r="X138" s="15"/>
      <c r="Y138" s="46">
        <f t="shared" si="147"/>
        <v>4.7640000000000002</v>
      </c>
      <c r="Z138" s="46">
        <f t="shared" si="148"/>
        <v>1.1910000000000001</v>
      </c>
      <c r="AA138" s="46" t="str">
        <f t="shared" si="149"/>
        <v/>
      </c>
      <c r="AB138" s="46">
        <f t="shared" si="150"/>
        <v>3.97</v>
      </c>
      <c r="AC138" s="46" t="str">
        <f t="shared" si="151"/>
        <v/>
      </c>
      <c r="AD138" s="15"/>
      <c r="AF138" s="3"/>
    </row>
    <row r="139" spans="1:32" x14ac:dyDescent="0.25">
      <c r="A139" s="25" t="s">
        <v>25</v>
      </c>
      <c r="B139" s="32"/>
      <c r="C139" s="26"/>
      <c r="D139" s="27" t="s">
        <v>316</v>
      </c>
      <c r="E139" s="29" t="s">
        <v>311</v>
      </c>
      <c r="F139" s="28" t="s">
        <v>484</v>
      </c>
      <c r="G139" s="45">
        <f>27.4-0.24*2</f>
        <v>26.919999999999998</v>
      </c>
      <c r="H139" s="45">
        <v>0.24</v>
      </c>
      <c r="I139" s="45">
        <f t="shared" si="152"/>
        <v>0.25</v>
      </c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45"/>
      <c r="U139" s="45">
        <f t="shared" si="153"/>
        <v>5.3839999999999995</v>
      </c>
      <c r="V139" s="45"/>
      <c r="W139" s="15"/>
      <c r="X139" s="15"/>
      <c r="Y139" s="46">
        <f t="shared" si="147"/>
        <v>6.460799999999999</v>
      </c>
      <c r="Z139" s="46">
        <f t="shared" si="148"/>
        <v>1.6151999999999997</v>
      </c>
      <c r="AA139" s="46" t="str">
        <f t="shared" si="149"/>
        <v/>
      </c>
      <c r="AB139" s="46">
        <f t="shared" si="150"/>
        <v>5.3839999999999995</v>
      </c>
      <c r="AC139" s="46" t="str">
        <f t="shared" si="151"/>
        <v/>
      </c>
      <c r="AD139" s="15"/>
      <c r="AF139" s="3"/>
    </row>
    <row r="140" spans="1:32" x14ac:dyDescent="0.25">
      <c r="A140" s="25" t="s">
        <v>25</v>
      </c>
      <c r="B140" s="32"/>
      <c r="C140" s="26"/>
      <c r="D140" s="27" t="s">
        <v>317</v>
      </c>
      <c r="E140" s="29" t="s">
        <v>311</v>
      </c>
      <c r="F140" s="28" t="s">
        <v>484</v>
      </c>
      <c r="G140" s="45">
        <v>39.700000000000003</v>
      </c>
      <c r="H140" s="45">
        <v>0.24</v>
      </c>
      <c r="I140" s="45">
        <f t="shared" si="152"/>
        <v>0.25</v>
      </c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45"/>
      <c r="U140" s="45">
        <f t="shared" si="153"/>
        <v>7.94</v>
      </c>
      <c r="V140" s="45"/>
      <c r="W140" s="15"/>
      <c r="X140" s="15"/>
      <c r="Y140" s="46">
        <f t="shared" si="147"/>
        <v>9.5280000000000005</v>
      </c>
      <c r="Z140" s="46">
        <f t="shared" si="148"/>
        <v>2.3820000000000001</v>
      </c>
      <c r="AA140" s="46" t="str">
        <f t="shared" si="149"/>
        <v/>
      </c>
      <c r="AB140" s="46">
        <f t="shared" si="150"/>
        <v>7.94</v>
      </c>
      <c r="AC140" s="46" t="str">
        <f t="shared" si="151"/>
        <v/>
      </c>
      <c r="AD140" s="15"/>
      <c r="AF140" s="3"/>
    </row>
    <row r="141" spans="1:32" x14ac:dyDescent="0.25">
      <c r="A141" s="25" t="s">
        <v>25</v>
      </c>
      <c r="B141" s="32"/>
      <c r="C141" s="26"/>
      <c r="D141" s="27" t="s">
        <v>318</v>
      </c>
      <c r="E141" s="29" t="s">
        <v>311</v>
      </c>
      <c r="F141" s="28" t="s">
        <v>484</v>
      </c>
      <c r="G141" s="45">
        <f>10.2-0.24*2</f>
        <v>9.7199999999999989</v>
      </c>
      <c r="H141" s="45">
        <v>0.24</v>
      </c>
      <c r="I141" s="45">
        <f t="shared" si="152"/>
        <v>0.25</v>
      </c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45"/>
      <c r="U141" s="45">
        <f t="shared" si="153"/>
        <v>1.9439999999999997</v>
      </c>
      <c r="V141" s="45"/>
      <c r="W141" s="15"/>
      <c r="X141" s="15"/>
      <c r="Y141" s="46">
        <f t="shared" si="147"/>
        <v>2.3327999999999998</v>
      </c>
      <c r="Z141" s="46">
        <f t="shared" si="148"/>
        <v>0.58319999999999994</v>
      </c>
      <c r="AA141" s="46" t="str">
        <f t="shared" si="149"/>
        <v/>
      </c>
      <c r="AB141" s="46">
        <f t="shared" si="150"/>
        <v>1.9439999999999997</v>
      </c>
      <c r="AC141" s="46" t="str">
        <f t="shared" si="151"/>
        <v/>
      </c>
      <c r="AD141" s="15"/>
      <c r="AF141" s="3"/>
    </row>
    <row r="142" spans="1:32" x14ac:dyDescent="0.25">
      <c r="A142" s="25" t="s">
        <v>25</v>
      </c>
      <c r="B142" s="32"/>
      <c r="C142" s="26"/>
      <c r="D142" s="27" t="s">
        <v>319</v>
      </c>
      <c r="E142" s="29" t="s">
        <v>311</v>
      </c>
      <c r="F142" s="28" t="s">
        <v>484</v>
      </c>
      <c r="G142" s="45">
        <v>4.1500000000000004</v>
      </c>
      <c r="H142" s="45">
        <v>0.24</v>
      </c>
      <c r="I142" s="45">
        <f t="shared" si="152"/>
        <v>0.25</v>
      </c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45"/>
      <c r="U142" s="45">
        <f t="shared" ref="U142:U145" si="154">G142*0.15+G142*0.05</f>
        <v>0.83000000000000007</v>
      </c>
      <c r="V142" s="45"/>
      <c r="W142" s="15"/>
      <c r="X142" s="15"/>
      <c r="Y142" s="46">
        <f t="shared" si="147"/>
        <v>0.996</v>
      </c>
      <c r="Z142" s="46">
        <f t="shared" si="148"/>
        <v>0.249</v>
      </c>
      <c r="AA142" s="46" t="str">
        <f t="shared" si="149"/>
        <v/>
      </c>
      <c r="AB142" s="46">
        <f t="shared" si="150"/>
        <v>0.83000000000000007</v>
      </c>
      <c r="AC142" s="46" t="str">
        <f t="shared" si="151"/>
        <v/>
      </c>
      <c r="AD142" s="15"/>
      <c r="AF142" s="3"/>
    </row>
    <row r="143" spans="1:32" x14ac:dyDescent="0.25">
      <c r="A143" s="25" t="s">
        <v>25</v>
      </c>
      <c r="B143" s="32"/>
      <c r="C143" s="26"/>
      <c r="D143" s="27" t="s">
        <v>320</v>
      </c>
      <c r="E143" s="29" t="s">
        <v>311</v>
      </c>
      <c r="F143" s="28" t="s">
        <v>484</v>
      </c>
      <c r="G143" s="45">
        <f>4.4-0.24</f>
        <v>4.16</v>
      </c>
      <c r="H143" s="45">
        <v>0.24</v>
      </c>
      <c r="I143" s="45">
        <f t="shared" si="152"/>
        <v>0.25</v>
      </c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45"/>
      <c r="U143" s="45">
        <f t="shared" si="154"/>
        <v>0.83200000000000007</v>
      </c>
      <c r="V143" s="45"/>
      <c r="W143" s="15"/>
      <c r="X143" s="15"/>
      <c r="Y143" s="46">
        <f t="shared" si="147"/>
        <v>0.99839999999999995</v>
      </c>
      <c r="Z143" s="46">
        <f t="shared" si="148"/>
        <v>0.24959999999999999</v>
      </c>
      <c r="AA143" s="46" t="str">
        <f t="shared" si="149"/>
        <v/>
      </c>
      <c r="AB143" s="46">
        <f t="shared" si="150"/>
        <v>0.83200000000000007</v>
      </c>
      <c r="AC143" s="46" t="str">
        <f t="shared" si="151"/>
        <v/>
      </c>
      <c r="AD143" s="15"/>
      <c r="AF143" s="3"/>
    </row>
    <row r="144" spans="1:32" x14ac:dyDescent="0.25">
      <c r="A144" s="25" t="s">
        <v>25</v>
      </c>
      <c r="B144" s="32"/>
      <c r="C144" s="26"/>
      <c r="D144" s="27" t="s">
        <v>321</v>
      </c>
      <c r="E144" s="29" t="s">
        <v>311</v>
      </c>
      <c r="F144" s="28" t="s">
        <v>484</v>
      </c>
      <c r="G144" s="45">
        <v>11.4</v>
      </c>
      <c r="H144" s="45">
        <v>0.24</v>
      </c>
      <c r="I144" s="45">
        <f t="shared" si="152"/>
        <v>0.25</v>
      </c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45"/>
      <c r="U144" s="45">
        <f t="shared" si="154"/>
        <v>2.2800000000000002</v>
      </c>
      <c r="V144" s="45"/>
      <c r="W144" s="15"/>
      <c r="X144" s="15"/>
      <c r="Y144" s="46">
        <f t="shared" si="147"/>
        <v>2.7359999999999998</v>
      </c>
      <c r="Z144" s="46">
        <f t="shared" si="148"/>
        <v>0.68399999999999994</v>
      </c>
      <c r="AA144" s="46" t="str">
        <f t="shared" si="149"/>
        <v/>
      </c>
      <c r="AB144" s="46">
        <f t="shared" si="150"/>
        <v>2.2800000000000002</v>
      </c>
      <c r="AC144" s="46" t="str">
        <f t="shared" si="151"/>
        <v/>
      </c>
      <c r="AD144" s="15"/>
      <c r="AF144" s="3"/>
    </row>
    <row r="145" spans="1:32" x14ac:dyDescent="0.25">
      <c r="A145" s="25" t="s">
        <v>25</v>
      </c>
      <c r="B145" s="32"/>
      <c r="C145" s="26"/>
      <c r="D145" s="27" t="s">
        <v>322</v>
      </c>
      <c r="E145" s="29" t="s">
        <v>311</v>
      </c>
      <c r="F145" s="28" t="s">
        <v>484</v>
      </c>
      <c r="G145" s="45">
        <f>28.2-0.24*2</f>
        <v>27.72</v>
      </c>
      <c r="H145" s="45">
        <v>0.24</v>
      </c>
      <c r="I145" s="45">
        <f t="shared" si="152"/>
        <v>0.25</v>
      </c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45"/>
      <c r="U145" s="45">
        <f t="shared" si="154"/>
        <v>5.5439999999999996</v>
      </c>
      <c r="V145" s="45"/>
      <c r="W145" s="15"/>
      <c r="X145" s="15"/>
      <c r="Y145" s="46">
        <f t="shared" si="147"/>
        <v>6.6527999999999992</v>
      </c>
      <c r="Z145" s="46">
        <f t="shared" si="148"/>
        <v>1.6631999999999998</v>
      </c>
      <c r="AA145" s="46" t="str">
        <f t="shared" si="149"/>
        <v/>
      </c>
      <c r="AB145" s="46">
        <f t="shared" si="150"/>
        <v>5.5439999999999996</v>
      </c>
      <c r="AC145" s="46" t="str">
        <f t="shared" si="151"/>
        <v/>
      </c>
      <c r="AD145" s="15"/>
      <c r="AF145" s="3"/>
    </row>
    <row r="146" spans="1:32" x14ac:dyDescent="0.25">
      <c r="A146" s="25" t="s">
        <v>25</v>
      </c>
      <c r="B146" s="32"/>
      <c r="C146" s="26"/>
      <c r="D146" s="27" t="s">
        <v>323</v>
      </c>
      <c r="E146" s="29" t="s">
        <v>311</v>
      </c>
      <c r="F146" s="28" t="s">
        <v>500</v>
      </c>
      <c r="G146" s="45">
        <v>21.155000000000001</v>
      </c>
      <c r="H146" s="45">
        <v>0.24</v>
      </c>
      <c r="I146" s="45">
        <v>0.2</v>
      </c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45"/>
      <c r="U146" s="45"/>
      <c r="V146" s="45"/>
      <c r="W146" s="15"/>
      <c r="X146" s="15"/>
      <c r="Y146" s="46">
        <f t="shared" si="147"/>
        <v>5.0772000000000004</v>
      </c>
      <c r="Z146" s="46">
        <f t="shared" si="148"/>
        <v>1.0154400000000001</v>
      </c>
      <c r="AA146" s="46" t="str">
        <f t="shared" si="149"/>
        <v/>
      </c>
      <c r="AB146" s="46" t="str">
        <f t="shared" si="150"/>
        <v/>
      </c>
      <c r="AC146" s="46" t="str">
        <f t="shared" si="151"/>
        <v/>
      </c>
      <c r="AD146" s="15"/>
      <c r="AF146" s="3"/>
    </row>
    <row r="147" spans="1:32" x14ac:dyDescent="0.25">
      <c r="A147" s="25" t="s">
        <v>25</v>
      </c>
      <c r="B147" s="32"/>
      <c r="C147" s="26"/>
      <c r="D147" s="27" t="s">
        <v>481</v>
      </c>
      <c r="E147" s="29" t="s">
        <v>311</v>
      </c>
      <c r="F147" s="28" t="s">
        <v>500</v>
      </c>
      <c r="G147" s="45">
        <v>3.7650000000000001</v>
      </c>
      <c r="H147" s="45">
        <v>0.24</v>
      </c>
      <c r="I147" s="45">
        <v>0.2</v>
      </c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45"/>
      <c r="U147" s="45"/>
      <c r="V147" s="45"/>
      <c r="W147" s="15"/>
      <c r="X147" s="15"/>
      <c r="Y147" s="46">
        <f t="shared" si="147"/>
        <v>0.90359999999999996</v>
      </c>
      <c r="Z147" s="46">
        <f t="shared" si="148"/>
        <v>0.18071999999999999</v>
      </c>
      <c r="AA147" s="46" t="str">
        <f t="shared" si="149"/>
        <v/>
      </c>
      <c r="AB147" s="46" t="str">
        <f t="shared" si="150"/>
        <v/>
      </c>
      <c r="AC147" s="46" t="str">
        <f t="shared" si="151"/>
        <v/>
      </c>
      <c r="AD147" s="15"/>
      <c r="AF147" s="3"/>
    </row>
    <row r="148" spans="1:32" x14ac:dyDescent="0.25">
      <c r="A148" s="25" t="s">
        <v>25</v>
      </c>
      <c r="B148" s="32"/>
      <c r="C148" s="26"/>
      <c r="D148" s="27" t="s">
        <v>482</v>
      </c>
      <c r="E148" s="29" t="s">
        <v>311</v>
      </c>
      <c r="F148" s="28" t="s">
        <v>500</v>
      </c>
      <c r="G148" s="45">
        <f>2.42*2+5.74*2</f>
        <v>16.32</v>
      </c>
      <c r="H148" s="45">
        <v>0.19</v>
      </c>
      <c r="I148" s="45">
        <v>0.2</v>
      </c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45"/>
      <c r="U148" s="45">
        <f>(2.42+3.98*2)*0.2</f>
        <v>2.0760000000000001</v>
      </c>
      <c r="V148" s="45"/>
      <c r="W148" s="15"/>
      <c r="X148" s="15"/>
      <c r="Y148" s="46">
        <f t="shared" si="147"/>
        <v>3.1008</v>
      </c>
      <c r="Z148" s="46">
        <f t="shared" si="148"/>
        <v>0.62016000000000004</v>
      </c>
      <c r="AA148" s="46" t="str">
        <f t="shared" si="149"/>
        <v/>
      </c>
      <c r="AB148" s="46">
        <f t="shared" si="150"/>
        <v>2.0760000000000001</v>
      </c>
      <c r="AC148" s="46" t="str">
        <f t="shared" si="151"/>
        <v/>
      </c>
      <c r="AD148" s="15"/>
      <c r="AF148" s="3"/>
    </row>
    <row r="149" spans="1:32" x14ac:dyDescent="0.25">
      <c r="A149" s="25" t="s">
        <v>25</v>
      </c>
      <c r="B149" s="32"/>
      <c r="C149" s="26"/>
      <c r="D149" s="27" t="s">
        <v>483</v>
      </c>
      <c r="E149" s="29" t="s">
        <v>311</v>
      </c>
      <c r="F149" s="28" t="s">
        <v>500</v>
      </c>
      <c r="G149" s="45">
        <v>31.47</v>
      </c>
      <c r="H149" s="45">
        <v>0.24</v>
      </c>
      <c r="I149" s="45">
        <v>0.2</v>
      </c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45"/>
      <c r="U149" s="45"/>
      <c r="V149" s="45"/>
      <c r="W149" s="15"/>
      <c r="X149" s="15"/>
      <c r="Y149" s="46">
        <f t="shared" ref="Y149:Y164" si="155">IF(((G149*H149)+J149-K149+L149)=0,"",((G149*H149)+J149-K149+L149))</f>
        <v>7.5527999999999995</v>
      </c>
      <c r="Z149" s="46">
        <f t="shared" ref="Z149:Z164" si="156">IF(PRODUCT(Y149,I149)+M149=0,"",Y149*I149+M149)</f>
        <v>1.5105599999999999</v>
      </c>
      <c r="AA149" s="46" t="str">
        <f t="shared" ref="AA149:AA164" si="157">IF((N149*O149+P149-Q149-R149+S149)=0,"",(N149*O149+P149-Q149-R149+S149))</f>
        <v/>
      </c>
      <c r="AB149" s="46" t="str">
        <f t="shared" ref="AB149:AB164" si="158">IF((U149+V149-W149+X149)=0,"",(U149+V149-W149+X149))</f>
        <v/>
      </c>
      <c r="AC149" s="46" t="str">
        <f t="shared" ref="AC149:AC164" si="159">IF((N149*O149+P149-Q149-R149+S149)=0,"",(N149*O149+P149-Q149-R149+S149))</f>
        <v/>
      </c>
      <c r="AD149" s="15"/>
      <c r="AF149" s="3"/>
    </row>
    <row r="150" spans="1:32" x14ac:dyDescent="0.25">
      <c r="A150" s="25" t="s">
        <v>25</v>
      </c>
      <c r="B150" s="32"/>
      <c r="C150" s="26"/>
      <c r="D150" s="27" t="s">
        <v>485</v>
      </c>
      <c r="E150" s="29" t="s">
        <v>311</v>
      </c>
      <c r="F150" s="28" t="s">
        <v>500</v>
      </c>
      <c r="G150" s="45">
        <v>4.4649999999999999</v>
      </c>
      <c r="H150" s="45">
        <v>0.2</v>
      </c>
      <c r="I150" s="45">
        <v>0.2</v>
      </c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45"/>
      <c r="U150" s="45"/>
      <c r="V150" s="45"/>
      <c r="W150" s="15"/>
      <c r="X150" s="15"/>
      <c r="Y150" s="46">
        <f t="shared" si="155"/>
        <v>0.89300000000000002</v>
      </c>
      <c r="Z150" s="46">
        <f t="shared" si="156"/>
        <v>0.17860000000000001</v>
      </c>
      <c r="AA150" s="46" t="str">
        <f t="shared" si="157"/>
        <v/>
      </c>
      <c r="AB150" s="46" t="str">
        <f t="shared" si="158"/>
        <v/>
      </c>
      <c r="AC150" s="46" t="str">
        <f t="shared" si="159"/>
        <v/>
      </c>
      <c r="AD150" s="15"/>
      <c r="AF150" s="3"/>
    </row>
    <row r="151" spans="1:32" x14ac:dyDescent="0.25">
      <c r="A151" s="25" t="s">
        <v>25</v>
      </c>
      <c r="B151" s="32"/>
      <c r="C151" s="26"/>
      <c r="D151" s="27" t="s">
        <v>486</v>
      </c>
      <c r="E151" s="29" t="s">
        <v>311</v>
      </c>
      <c r="F151" s="28" t="s">
        <v>500</v>
      </c>
      <c r="G151" s="45">
        <f>11.3+0.2</f>
        <v>11.5</v>
      </c>
      <c r="H151" s="45">
        <v>0.2</v>
      </c>
      <c r="I151" s="45">
        <v>0.2</v>
      </c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45"/>
      <c r="U151" s="45"/>
      <c r="V151" s="45"/>
      <c r="W151" s="15"/>
      <c r="X151" s="15"/>
      <c r="Y151" s="46">
        <f t="shared" si="155"/>
        <v>2.3000000000000003</v>
      </c>
      <c r="Z151" s="46">
        <f t="shared" si="156"/>
        <v>0.46000000000000008</v>
      </c>
      <c r="AA151" s="46" t="str">
        <f t="shared" si="157"/>
        <v/>
      </c>
      <c r="AB151" s="46" t="str">
        <f t="shared" si="158"/>
        <v/>
      </c>
      <c r="AC151" s="46" t="str">
        <f t="shared" si="159"/>
        <v/>
      </c>
      <c r="AD151" s="15"/>
      <c r="AF151" s="3"/>
    </row>
    <row r="152" spans="1:32" x14ac:dyDescent="0.25">
      <c r="A152" s="25" t="s">
        <v>25</v>
      </c>
      <c r="B152" s="32"/>
      <c r="C152" s="26"/>
      <c r="D152" s="27" t="s">
        <v>487</v>
      </c>
      <c r="E152" s="29" t="s">
        <v>311</v>
      </c>
      <c r="F152" s="28" t="s">
        <v>500</v>
      </c>
      <c r="G152" s="45">
        <v>6.7</v>
      </c>
      <c r="H152" s="45">
        <v>0.2</v>
      </c>
      <c r="I152" s="45">
        <v>0.2</v>
      </c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45"/>
      <c r="U152" s="45"/>
      <c r="V152" s="45"/>
      <c r="W152" s="15"/>
      <c r="X152" s="15"/>
      <c r="Y152" s="46">
        <f t="shared" si="155"/>
        <v>1.34</v>
      </c>
      <c r="Z152" s="46">
        <f t="shared" si="156"/>
        <v>0.26800000000000002</v>
      </c>
      <c r="AA152" s="46" t="str">
        <f t="shared" si="157"/>
        <v/>
      </c>
      <c r="AB152" s="46" t="str">
        <f t="shared" si="158"/>
        <v/>
      </c>
      <c r="AC152" s="46" t="str">
        <f t="shared" si="159"/>
        <v/>
      </c>
      <c r="AD152" s="15"/>
      <c r="AF152" s="3"/>
    </row>
    <row r="153" spans="1:32" x14ac:dyDescent="0.25">
      <c r="A153" s="25" t="s">
        <v>25</v>
      </c>
      <c r="B153" s="32"/>
      <c r="C153" s="26"/>
      <c r="D153" s="27" t="s">
        <v>488</v>
      </c>
      <c r="E153" s="29" t="s">
        <v>311</v>
      </c>
      <c r="F153" s="28" t="s">
        <v>500</v>
      </c>
      <c r="G153" s="45">
        <v>12.61</v>
      </c>
      <c r="H153" s="45">
        <v>0.24</v>
      </c>
      <c r="I153" s="45">
        <v>0.2</v>
      </c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45"/>
      <c r="U153" s="45"/>
      <c r="V153" s="45"/>
      <c r="W153" s="15"/>
      <c r="X153" s="15"/>
      <c r="Y153" s="46">
        <f t="shared" si="155"/>
        <v>3.0263999999999998</v>
      </c>
      <c r="Z153" s="46">
        <f t="shared" si="156"/>
        <v>0.60528000000000004</v>
      </c>
      <c r="AA153" s="46" t="str">
        <f t="shared" si="157"/>
        <v/>
      </c>
      <c r="AB153" s="46" t="str">
        <f t="shared" si="158"/>
        <v/>
      </c>
      <c r="AC153" s="46" t="str">
        <f t="shared" si="159"/>
        <v/>
      </c>
      <c r="AD153" s="15"/>
      <c r="AF153" s="3"/>
    </row>
    <row r="154" spans="1:32" x14ac:dyDescent="0.25">
      <c r="A154" s="25" t="s">
        <v>25</v>
      </c>
      <c r="B154" s="32"/>
      <c r="C154" s="26"/>
      <c r="D154" s="27" t="s">
        <v>489</v>
      </c>
      <c r="E154" s="29" t="s">
        <v>311</v>
      </c>
      <c r="F154" s="28" t="s">
        <v>500</v>
      </c>
      <c r="G154" s="45">
        <v>3.96</v>
      </c>
      <c r="H154" s="45">
        <v>0.24</v>
      </c>
      <c r="I154" s="45">
        <v>0.2</v>
      </c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45"/>
      <c r="U154" s="45"/>
      <c r="V154" s="45"/>
      <c r="W154" s="15"/>
      <c r="X154" s="15"/>
      <c r="Y154" s="46">
        <f t="shared" si="155"/>
        <v>0.95039999999999991</v>
      </c>
      <c r="Z154" s="46">
        <f t="shared" si="156"/>
        <v>0.19008</v>
      </c>
      <c r="AA154" s="46" t="str">
        <f t="shared" si="157"/>
        <v/>
      </c>
      <c r="AB154" s="46" t="str">
        <f t="shared" si="158"/>
        <v/>
      </c>
      <c r="AC154" s="46" t="str">
        <f t="shared" si="159"/>
        <v/>
      </c>
      <c r="AD154" s="15"/>
      <c r="AF154" s="3"/>
    </row>
    <row r="155" spans="1:32" x14ac:dyDescent="0.25">
      <c r="A155" s="25" t="s">
        <v>25</v>
      </c>
      <c r="B155" s="32"/>
      <c r="C155" s="26"/>
      <c r="D155" s="27" t="s">
        <v>490</v>
      </c>
      <c r="E155" s="29" t="s">
        <v>311</v>
      </c>
      <c r="F155" s="28" t="s">
        <v>500</v>
      </c>
      <c r="G155" s="45">
        <v>2.16</v>
      </c>
      <c r="H155" s="45">
        <v>0.24</v>
      </c>
      <c r="I155" s="45">
        <v>0.2</v>
      </c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45"/>
      <c r="U155" s="45"/>
      <c r="V155" s="45"/>
      <c r="W155" s="15"/>
      <c r="X155" s="15"/>
      <c r="Y155" s="46">
        <f t="shared" si="155"/>
        <v>0.51839999999999997</v>
      </c>
      <c r="Z155" s="46">
        <f t="shared" si="156"/>
        <v>0.10367999999999999</v>
      </c>
      <c r="AA155" s="46" t="str">
        <f t="shared" si="157"/>
        <v/>
      </c>
      <c r="AB155" s="46" t="str">
        <f t="shared" si="158"/>
        <v/>
      </c>
      <c r="AC155" s="46" t="str">
        <f t="shared" si="159"/>
        <v/>
      </c>
      <c r="AD155" s="15"/>
      <c r="AF155" s="3"/>
    </row>
    <row r="156" spans="1:32" x14ac:dyDescent="0.25">
      <c r="A156" s="25" t="s">
        <v>25</v>
      </c>
      <c r="B156" s="32"/>
      <c r="C156" s="26"/>
      <c r="D156" s="27" t="s">
        <v>491</v>
      </c>
      <c r="E156" s="29" t="s">
        <v>311</v>
      </c>
      <c r="F156" s="28" t="s">
        <v>500</v>
      </c>
      <c r="G156" s="45">
        <f>3.98*2+2.42+0.24*2</f>
        <v>10.86</v>
      </c>
      <c r="H156" s="45">
        <v>0.2</v>
      </c>
      <c r="I156" s="45">
        <v>0.2</v>
      </c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45"/>
      <c r="U156" s="45">
        <f>(3.98*2+2.42)*0.2</f>
        <v>2.0760000000000001</v>
      </c>
      <c r="V156" s="45"/>
      <c r="W156" s="15"/>
      <c r="X156" s="15"/>
      <c r="Y156" s="46">
        <f t="shared" si="155"/>
        <v>2.1720000000000002</v>
      </c>
      <c r="Z156" s="46">
        <f t="shared" si="156"/>
        <v>0.43440000000000006</v>
      </c>
      <c r="AA156" s="46" t="str">
        <f t="shared" si="157"/>
        <v/>
      </c>
      <c r="AB156" s="46">
        <f t="shared" si="158"/>
        <v>2.0760000000000001</v>
      </c>
      <c r="AC156" s="46" t="str">
        <f t="shared" si="159"/>
        <v/>
      </c>
      <c r="AD156" s="15"/>
      <c r="AF156" s="3"/>
    </row>
    <row r="157" spans="1:32" x14ac:dyDescent="0.25">
      <c r="A157" s="25" t="s">
        <v>25</v>
      </c>
      <c r="B157" s="32"/>
      <c r="C157" s="26"/>
      <c r="D157" s="27" t="s">
        <v>492</v>
      </c>
      <c r="E157" s="29" t="s">
        <v>311</v>
      </c>
      <c r="F157" s="28" t="s">
        <v>500</v>
      </c>
      <c r="G157" s="45">
        <v>14.475</v>
      </c>
      <c r="H157" s="45">
        <v>0.24</v>
      </c>
      <c r="I157" s="45">
        <v>0.2</v>
      </c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45"/>
      <c r="U157" s="45"/>
      <c r="V157" s="45"/>
      <c r="W157" s="15"/>
      <c r="X157" s="15"/>
      <c r="Y157" s="46">
        <f t="shared" si="155"/>
        <v>3.4739999999999998</v>
      </c>
      <c r="Z157" s="46">
        <f t="shared" si="156"/>
        <v>0.69479999999999997</v>
      </c>
      <c r="AA157" s="46" t="str">
        <f t="shared" si="157"/>
        <v/>
      </c>
      <c r="AB157" s="46" t="str">
        <f t="shared" si="158"/>
        <v/>
      </c>
      <c r="AC157" s="46" t="str">
        <f t="shared" si="159"/>
        <v/>
      </c>
      <c r="AD157" s="15"/>
      <c r="AF157" s="3"/>
    </row>
    <row r="158" spans="1:32" x14ac:dyDescent="0.25">
      <c r="A158" s="25" t="s">
        <v>25</v>
      </c>
      <c r="B158" s="32"/>
      <c r="C158" s="26"/>
      <c r="D158" s="27" t="s">
        <v>493</v>
      </c>
      <c r="E158" s="29" t="s">
        <v>311</v>
      </c>
      <c r="F158" s="28" t="s">
        <v>500</v>
      </c>
      <c r="G158" s="45">
        <v>5.4550000000000001</v>
      </c>
      <c r="H158" s="45">
        <v>0.24</v>
      </c>
      <c r="I158" s="45">
        <v>0.2</v>
      </c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45"/>
      <c r="U158" s="45"/>
      <c r="V158" s="45"/>
      <c r="W158" s="15"/>
      <c r="X158" s="15"/>
      <c r="Y158" s="46">
        <f t="shared" si="155"/>
        <v>1.3091999999999999</v>
      </c>
      <c r="Z158" s="46">
        <f t="shared" si="156"/>
        <v>0.26184000000000002</v>
      </c>
      <c r="AA158" s="46" t="str">
        <f t="shared" si="157"/>
        <v/>
      </c>
      <c r="AB158" s="46" t="str">
        <f t="shared" si="158"/>
        <v/>
      </c>
      <c r="AC158" s="46" t="str">
        <f t="shared" si="159"/>
        <v/>
      </c>
      <c r="AD158" s="15"/>
      <c r="AF158" s="3"/>
    </row>
    <row r="159" spans="1:32" x14ac:dyDescent="0.25">
      <c r="A159" s="25" t="s">
        <v>25</v>
      </c>
      <c r="B159" s="32"/>
      <c r="C159" s="26"/>
      <c r="D159" s="27" t="s">
        <v>494</v>
      </c>
      <c r="E159" s="29" t="s">
        <v>311</v>
      </c>
      <c r="F159" s="28" t="s">
        <v>500</v>
      </c>
      <c r="G159" s="45">
        <v>8.66</v>
      </c>
      <c r="H159" s="45">
        <v>0.2</v>
      </c>
      <c r="I159" s="45">
        <v>0.2</v>
      </c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45"/>
      <c r="U159" s="45">
        <f>(8.66-0.24)*0.2</f>
        <v>1.6840000000000002</v>
      </c>
      <c r="V159" s="45"/>
      <c r="W159" s="15"/>
      <c r="X159" s="15"/>
      <c r="Y159" s="46">
        <f t="shared" si="155"/>
        <v>1.7320000000000002</v>
      </c>
      <c r="Z159" s="46">
        <f t="shared" si="156"/>
        <v>0.34640000000000004</v>
      </c>
      <c r="AA159" s="46" t="str">
        <f t="shared" si="157"/>
        <v/>
      </c>
      <c r="AB159" s="46">
        <f t="shared" si="158"/>
        <v>1.6840000000000002</v>
      </c>
      <c r="AC159" s="46" t="str">
        <f t="shared" si="159"/>
        <v/>
      </c>
      <c r="AD159" s="15"/>
      <c r="AF159" s="3"/>
    </row>
    <row r="160" spans="1:32" x14ac:dyDescent="0.25">
      <c r="A160" s="25" t="s">
        <v>25</v>
      </c>
      <c r="B160" s="32"/>
      <c r="C160" s="26"/>
      <c r="D160" s="27" t="s">
        <v>495</v>
      </c>
      <c r="E160" s="29" t="s">
        <v>311</v>
      </c>
      <c r="F160" s="28" t="s">
        <v>500</v>
      </c>
      <c r="G160" s="45">
        <v>6.7</v>
      </c>
      <c r="H160" s="45">
        <v>0.2</v>
      </c>
      <c r="I160" s="45">
        <v>0.2</v>
      </c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45"/>
      <c r="U160" s="45">
        <f>6.7*0.2</f>
        <v>1.34</v>
      </c>
      <c r="V160" s="45"/>
      <c r="W160" s="15"/>
      <c r="X160" s="15"/>
      <c r="Y160" s="46">
        <f t="shared" si="155"/>
        <v>1.34</v>
      </c>
      <c r="Z160" s="46">
        <f t="shared" si="156"/>
        <v>0.26800000000000002</v>
      </c>
      <c r="AA160" s="46" t="str">
        <f t="shared" si="157"/>
        <v/>
      </c>
      <c r="AB160" s="46">
        <f t="shared" si="158"/>
        <v>1.34</v>
      </c>
      <c r="AC160" s="46" t="str">
        <f t="shared" si="159"/>
        <v/>
      </c>
      <c r="AD160" s="15"/>
      <c r="AF160" s="3"/>
    </row>
    <row r="161" spans="1:32" x14ac:dyDescent="0.25">
      <c r="A161" s="25" t="s">
        <v>25</v>
      </c>
      <c r="B161" s="32"/>
      <c r="C161" s="26"/>
      <c r="D161" s="27" t="s">
        <v>496</v>
      </c>
      <c r="E161" s="29" t="s">
        <v>311</v>
      </c>
      <c r="F161" s="28" t="s">
        <v>500</v>
      </c>
      <c r="G161" s="45">
        <v>11.5</v>
      </c>
      <c r="H161" s="45">
        <v>0.2</v>
      </c>
      <c r="I161" s="45">
        <v>0.2</v>
      </c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45"/>
      <c r="U161" s="45">
        <f>(11.5-0.24)*0.2</f>
        <v>2.2520000000000002</v>
      </c>
      <c r="V161" s="45"/>
      <c r="W161" s="15"/>
      <c r="X161" s="15"/>
      <c r="Y161" s="46">
        <f t="shared" si="155"/>
        <v>2.3000000000000003</v>
      </c>
      <c r="Z161" s="46">
        <f t="shared" si="156"/>
        <v>0.46000000000000008</v>
      </c>
      <c r="AA161" s="46" t="str">
        <f t="shared" si="157"/>
        <v/>
      </c>
      <c r="AB161" s="46">
        <f t="shared" si="158"/>
        <v>2.2520000000000002</v>
      </c>
      <c r="AC161" s="46" t="str">
        <f t="shared" si="159"/>
        <v/>
      </c>
      <c r="AD161" s="15"/>
      <c r="AF161" s="3"/>
    </row>
    <row r="162" spans="1:32" x14ac:dyDescent="0.25">
      <c r="A162" s="25" t="s">
        <v>25</v>
      </c>
      <c r="B162" s="32"/>
      <c r="C162" s="26"/>
      <c r="D162" s="27" t="s">
        <v>497</v>
      </c>
      <c r="E162" s="29" t="s">
        <v>311</v>
      </c>
      <c r="F162" s="28" t="s">
        <v>500</v>
      </c>
      <c r="G162" s="45">
        <v>5.4550000000000001</v>
      </c>
      <c r="H162" s="45">
        <v>0.28000000000000003</v>
      </c>
      <c r="I162" s="45">
        <v>0.2</v>
      </c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45"/>
      <c r="U162" s="45"/>
      <c r="V162" s="45"/>
      <c r="W162" s="15"/>
      <c r="X162" s="15"/>
      <c r="Y162" s="46">
        <f t="shared" si="155"/>
        <v>1.5274000000000001</v>
      </c>
      <c r="Z162" s="46">
        <f t="shared" si="156"/>
        <v>0.30548000000000003</v>
      </c>
      <c r="AA162" s="46" t="str">
        <f t="shared" si="157"/>
        <v/>
      </c>
      <c r="AB162" s="46" t="str">
        <f t="shared" si="158"/>
        <v/>
      </c>
      <c r="AC162" s="46" t="str">
        <f t="shared" si="159"/>
        <v/>
      </c>
      <c r="AD162" s="15"/>
      <c r="AF162" s="3"/>
    </row>
    <row r="163" spans="1:32" x14ac:dyDescent="0.25">
      <c r="A163" s="25" t="s">
        <v>25</v>
      </c>
      <c r="B163" s="32"/>
      <c r="C163" s="26"/>
      <c r="D163" s="27" t="s">
        <v>498</v>
      </c>
      <c r="E163" s="29" t="s">
        <v>311</v>
      </c>
      <c r="F163" s="28" t="s">
        <v>500</v>
      </c>
      <c r="G163" s="45">
        <f>34.97+0.69</f>
        <v>35.659999999999997</v>
      </c>
      <c r="H163" s="45">
        <v>0.24</v>
      </c>
      <c r="I163" s="45">
        <v>0.2</v>
      </c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45"/>
      <c r="U163" s="45"/>
      <c r="V163" s="45"/>
      <c r="W163" s="15"/>
      <c r="X163" s="15"/>
      <c r="Y163" s="46">
        <f t="shared" si="155"/>
        <v>8.5583999999999989</v>
      </c>
      <c r="Z163" s="46">
        <f t="shared" si="156"/>
        <v>1.7116799999999999</v>
      </c>
      <c r="AA163" s="46" t="str">
        <f t="shared" si="157"/>
        <v/>
      </c>
      <c r="AB163" s="46" t="str">
        <f t="shared" si="158"/>
        <v/>
      </c>
      <c r="AC163" s="46" t="str">
        <f t="shared" si="159"/>
        <v/>
      </c>
      <c r="AD163" s="15"/>
      <c r="AF163" s="3"/>
    </row>
    <row r="164" spans="1:32" x14ac:dyDescent="0.25">
      <c r="A164" s="25" t="s">
        <v>25</v>
      </c>
      <c r="B164" s="32"/>
      <c r="C164" s="26"/>
      <c r="D164" s="27" t="s">
        <v>499</v>
      </c>
      <c r="E164" s="29" t="s">
        <v>311</v>
      </c>
      <c r="F164" s="28" t="s">
        <v>500</v>
      </c>
      <c r="G164" s="45">
        <v>9.7200000000000006</v>
      </c>
      <c r="H164" s="45">
        <v>0.24</v>
      </c>
      <c r="I164" s="45">
        <v>0.2</v>
      </c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45"/>
      <c r="U164" s="45"/>
      <c r="V164" s="45"/>
      <c r="W164" s="15"/>
      <c r="X164" s="15"/>
      <c r="Y164" s="46">
        <f t="shared" si="155"/>
        <v>2.3328000000000002</v>
      </c>
      <c r="Z164" s="46">
        <f t="shared" si="156"/>
        <v>0.46656000000000009</v>
      </c>
      <c r="AA164" s="46" t="str">
        <f t="shared" si="157"/>
        <v/>
      </c>
      <c r="AB164" s="46" t="str">
        <f t="shared" si="158"/>
        <v/>
      </c>
      <c r="AC164" s="46" t="str">
        <f t="shared" si="159"/>
        <v/>
      </c>
      <c r="AD164" s="15"/>
      <c r="AF164" s="3"/>
    </row>
    <row r="165" spans="1:32" x14ac:dyDescent="0.25">
      <c r="A165" s="25"/>
      <c r="B165" s="32"/>
      <c r="C165" s="26"/>
      <c r="D165" s="27"/>
      <c r="E165" s="29"/>
      <c r="F165" s="28"/>
      <c r="G165" s="45"/>
      <c r="H165" s="45"/>
      <c r="I165" s="4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45"/>
      <c r="U165" s="45"/>
      <c r="V165" s="45"/>
      <c r="W165" s="15"/>
      <c r="X165" s="15"/>
      <c r="Y165" s="46"/>
      <c r="Z165" s="46"/>
      <c r="AA165" s="46"/>
      <c r="AB165" s="46"/>
      <c r="AC165" s="46"/>
      <c r="AD165" s="15"/>
      <c r="AF165" s="3"/>
    </row>
    <row r="166" spans="1:32" x14ac:dyDescent="0.25">
      <c r="A166" s="33" t="s">
        <v>26</v>
      </c>
      <c r="B166" s="32"/>
      <c r="C166" s="26"/>
      <c r="D166" s="27"/>
      <c r="E166" s="29"/>
      <c r="F166" s="28"/>
      <c r="G166" s="45"/>
      <c r="H166" s="45"/>
      <c r="I166" s="4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45"/>
      <c r="U166" s="45"/>
      <c r="V166" s="45"/>
      <c r="W166" s="15"/>
      <c r="X166" s="15"/>
      <c r="Y166" s="46" t="str">
        <f t="shared" si="147"/>
        <v/>
      </c>
      <c r="Z166" s="46" t="str">
        <f t="shared" si="148"/>
        <v/>
      </c>
      <c r="AA166" s="46" t="str">
        <f t="shared" si="149"/>
        <v/>
      </c>
      <c r="AB166" s="46" t="str">
        <f t="shared" si="150"/>
        <v/>
      </c>
      <c r="AC166" s="46" t="str">
        <f t="shared" si="151"/>
        <v/>
      </c>
      <c r="AD166" s="15"/>
      <c r="AF166" s="3"/>
    </row>
    <row r="167" spans="1:32" x14ac:dyDescent="0.25">
      <c r="A167" s="25" t="s">
        <v>27</v>
      </c>
      <c r="B167" s="32"/>
      <c r="C167" s="26"/>
      <c r="D167" s="27" t="s">
        <v>213</v>
      </c>
      <c r="E167" s="29" t="s">
        <v>76</v>
      </c>
      <c r="F167" s="28" t="s">
        <v>214</v>
      </c>
      <c r="G167" s="45"/>
      <c r="H167" s="45"/>
      <c r="I167" s="45">
        <v>0.25</v>
      </c>
      <c r="J167" s="15">
        <v>14.05</v>
      </c>
      <c r="K167" s="15"/>
      <c r="L167" s="15"/>
      <c r="M167" s="15"/>
      <c r="N167" s="15"/>
      <c r="O167" s="15"/>
      <c r="P167" s="15">
        <f>1.79*1.8+2.4*3.05</f>
        <v>10.542</v>
      </c>
      <c r="Q167" s="15"/>
      <c r="R167" s="15"/>
      <c r="S167" s="15"/>
      <c r="T167" s="45">
        <f>10.85-6.65</f>
        <v>4.1999999999999993</v>
      </c>
      <c r="U167" s="45">
        <f>16.45*0.25</f>
        <v>4.1124999999999998</v>
      </c>
      <c r="V167" s="45"/>
      <c r="W167" s="15"/>
      <c r="X167" s="15"/>
      <c r="Y167" s="46">
        <f t="shared" si="147"/>
        <v>14.05</v>
      </c>
      <c r="Z167" s="46">
        <f t="shared" si="148"/>
        <v>3.5125000000000002</v>
      </c>
      <c r="AA167" s="46">
        <f t="shared" si="149"/>
        <v>10.542</v>
      </c>
      <c r="AB167" s="46">
        <f t="shared" si="150"/>
        <v>4.1124999999999998</v>
      </c>
      <c r="AC167" s="46">
        <f t="shared" si="151"/>
        <v>10.542</v>
      </c>
      <c r="AD167" s="15"/>
      <c r="AF167" s="3"/>
    </row>
    <row r="168" spans="1:32" x14ac:dyDescent="0.25">
      <c r="A168" s="25" t="s">
        <v>27</v>
      </c>
      <c r="B168" s="32"/>
      <c r="C168" s="26"/>
      <c r="D168" s="27" t="s">
        <v>215</v>
      </c>
      <c r="E168" s="29" t="s">
        <v>138</v>
      </c>
      <c r="F168" s="28" t="s">
        <v>223</v>
      </c>
      <c r="G168" s="45">
        <f>39.85+0.4*2</f>
        <v>40.65</v>
      </c>
      <c r="H168" s="45">
        <v>0.4</v>
      </c>
      <c r="I168" s="45">
        <f>9.65-9.5</f>
        <v>0.15000000000000036</v>
      </c>
      <c r="J168" s="15"/>
      <c r="K168" s="15"/>
      <c r="L168" s="15"/>
      <c r="M168" s="15"/>
      <c r="N168" s="15">
        <f>G168</f>
        <v>40.65</v>
      </c>
      <c r="O168" s="15">
        <f>H168</f>
        <v>0.4</v>
      </c>
      <c r="P168" s="15"/>
      <c r="Q168" s="15"/>
      <c r="R168" s="15"/>
      <c r="S168" s="15"/>
      <c r="T168" s="45">
        <f>9.5-6.55</f>
        <v>2.95</v>
      </c>
      <c r="U168" s="45">
        <f>(G168+H168*2)*I168</f>
        <v>6.2175000000000145</v>
      </c>
      <c r="V168" s="45"/>
      <c r="W168" s="15"/>
      <c r="X168" s="15"/>
      <c r="Y168" s="46">
        <f t="shared" si="90"/>
        <v>16.260000000000002</v>
      </c>
      <c r="Z168" s="46">
        <f t="shared" si="91"/>
        <v>2.4390000000000058</v>
      </c>
      <c r="AA168" s="46">
        <f t="shared" si="92"/>
        <v>16.260000000000002</v>
      </c>
      <c r="AB168" s="46">
        <f t="shared" si="93"/>
        <v>6.2175000000000145</v>
      </c>
      <c r="AC168" s="46">
        <f t="shared" si="106"/>
        <v>16.260000000000002</v>
      </c>
      <c r="AD168" s="15"/>
      <c r="AF168" s="3"/>
    </row>
    <row r="169" spans="1:32" x14ac:dyDescent="0.25">
      <c r="A169" s="25" t="s">
        <v>27</v>
      </c>
      <c r="B169" s="32"/>
      <c r="C169" s="26"/>
      <c r="D169" s="27" t="s">
        <v>216</v>
      </c>
      <c r="E169" s="29" t="s">
        <v>138</v>
      </c>
      <c r="F169" s="28" t="s">
        <v>223</v>
      </c>
      <c r="G169" s="45">
        <v>19.8</v>
      </c>
      <c r="H169" s="45">
        <v>0.4</v>
      </c>
      <c r="I169" s="45">
        <f t="shared" ref="I169:I175" si="160">9.65-9.5</f>
        <v>0.15000000000000036</v>
      </c>
      <c r="J169" s="15"/>
      <c r="K169" s="15"/>
      <c r="L169" s="15"/>
      <c r="M169" s="15"/>
      <c r="N169" s="15">
        <f t="shared" ref="N169:N173" si="161">G169</f>
        <v>19.8</v>
      </c>
      <c r="O169" s="15">
        <f t="shared" ref="O169:O173" si="162">H169</f>
        <v>0.4</v>
      </c>
      <c r="P169" s="15"/>
      <c r="Q169" s="15"/>
      <c r="R169" s="15"/>
      <c r="S169" s="15"/>
      <c r="T169" s="45">
        <f t="shared" ref="T169:T175" si="163">9.5-6.55</f>
        <v>2.95</v>
      </c>
      <c r="U169" s="45">
        <f>(G169-0.4)*I169</f>
        <v>2.9100000000000072</v>
      </c>
      <c r="V169" s="45"/>
      <c r="W169" s="15"/>
      <c r="X169" s="15"/>
      <c r="Y169" s="46">
        <f t="shared" si="90"/>
        <v>7.9200000000000008</v>
      </c>
      <c r="Z169" s="46">
        <f t="shared" si="91"/>
        <v>1.1880000000000028</v>
      </c>
      <c r="AA169" s="46">
        <f t="shared" si="92"/>
        <v>7.9200000000000008</v>
      </c>
      <c r="AB169" s="46">
        <f t="shared" si="93"/>
        <v>2.9100000000000072</v>
      </c>
      <c r="AC169" s="46">
        <f t="shared" si="106"/>
        <v>7.9200000000000008</v>
      </c>
      <c r="AD169" s="15"/>
      <c r="AF169" s="3"/>
    </row>
    <row r="170" spans="1:32" x14ac:dyDescent="0.25">
      <c r="A170" s="25" t="s">
        <v>27</v>
      </c>
      <c r="B170" s="32"/>
      <c r="C170" s="26"/>
      <c r="D170" s="27" t="s">
        <v>217</v>
      </c>
      <c r="E170" s="29" t="s">
        <v>138</v>
      </c>
      <c r="F170" s="28" t="s">
        <v>223</v>
      </c>
      <c r="G170" s="45">
        <v>29.4</v>
      </c>
      <c r="H170" s="45">
        <v>0.4</v>
      </c>
      <c r="I170" s="45">
        <f t="shared" si="160"/>
        <v>0.15000000000000036</v>
      </c>
      <c r="J170" s="15"/>
      <c r="K170" s="15"/>
      <c r="L170" s="15"/>
      <c r="M170" s="15"/>
      <c r="N170" s="15">
        <f t="shared" si="161"/>
        <v>29.4</v>
      </c>
      <c r="O170" s="15">
        <f t="shared" si="162"/>
        <v>0.4</v>
      </c>
      <c r="P170" s="15"/>
      <c r="Q170" s="15"/>
      <c r="R170" s="15"/>
      <c r="S170" s="15"/>
      <c r="T170" s="45">
        <f t="shared" si="163"/>
        <v>2.95</v>
      </c>
      <c r="U170" s="45">
        <f>(G170+H170)*I170</f>
        <v>4.4700000000000104</v>
      </c>
      <c r="V170" s="45"/>
      <c r="W170" s="15"/>
      <c r="X170" s="15"/>
      <c r="Y170" s="46">
        <f t="shared" si="90"/>
        <v>11.76</v>
      </c>
      <c r="Z170" s="46">
        <f t="shared" si="91"/>
        <v>1.7640000000000042</v>
      </c>
      <c r="AA170" s="46">
        <f t="shared" si="92"/>
        <v>11.76</v>
      </c>
      <c r="AB170" s="46">
        <f t="shared" si="93"/>
        <v>4.4700000000000104</v>
      </c>
      <c r="AC170" s="46">
        <f t="shared" si="106"/>
        <v>11.76</v>
      </c>
      <c r="AD170" s="15"/>
      <c r="AF170" s="3"/>
    </row>
    <row r="171" spans="1:32" x14ac:dyDescent="0.25">
      <c r="A171" s="25" t="s">
        <v>27</v>
      </c>
      <c r="B171" s="32"/>
      <c r="C171" s="26"/>
      <c r="D171" s="27" t="s">
        <v>218</v>
      </c>
      <c r="E171" s="29" t="s">
        <v>138</v>
      </c>
      <c r="F171" s="28" t="s">
        <v>223</v>
      </c>
      <c r="G171" s="45">
        <v>27.4</v>
      </c>
      <c r="H171" s="45">
        <v>0.4</v>
      </c>
      <c r="I171" s="45">
        <f t="shared" si="160"/>
        <v>0.15000000000000036</v>
      </c>
      <c r="J171" s="15"/>
      <c r="K171" s="15"/>
      <c r="L171" s="15"/>
      <c r="M171" s="15"/>
      <c r="N171" s="15">
        <f t="shared" si="161"/>
        <v>27.4</v>
      </c>
      <c r="O171" s="15">
        <f t="shared" si="162"/>
        <v>0.4</v>
      </c>
      <c r="P171" s="15"/>
      <c r="Q171" s="15"/>
      <c r="R171" s="15"/>
      <c r="S171" s="15"/>
      <c r="T171" s="45">
        <f t="shared" si="163"/>
        <v>2.95</v>
      </c>
      <c r="U171" s="45">
        <f>(G171)*I171</f>
        <v>4.1100000000000092</v>
      </c>
      <c r="V171" s="45"/>
      <c r="W171" s="15"/>
      <c r="X171" s="15"/>
      <c r="Y171" s="46">
        <f t="shared" si="90"/>
        <v>10.96</v>
      </c>
      <c r="Z171" s="46">
        <f t="shared" si="91"/>
        <v>1.6440000000000041</v>
      </c>
      <c r="AA171" s="46">
        <f t="shared" si="92"/>
        <v>10.96</v>
      </c>
      <c r="AB171" s="46">
        <f t="shared" si="93"/>
        <v>4.1100000000000092</v>
      </c>
      <c r="AC171" s="46">
        <f t="shared" si="106"/>
        <v>10.96</v>
      </c>
      <c r="AD171" s="15"/>
      <c r="AF171" s="3"/>
    </row>
    <row r="172" spans="1:32" x14ac:dyDescent="0.25">
      <c r="A172" s="25" t="s">
        <v>27</v>
      </c>
      <c r="B172" s="32"/>
      <c r="C172" s="26"/>
      <c r="D172" s="27" t="s">
        <v>219</v>
      </c>
      <c r="E172" s="29" t="s">
        <v>138</v>
      </c>
      <c r="F172" s="28" t="s">
        <v>223</v>
      </c>
      <c r="G172" s="45">
        <f>39.7+0.4*2</f>
        <v>40.5</v>
      </c>
      <c r="H172" s="45">
        <v>0.4</v>
      </c>
      <c r="I172" s="45">
        <f t="shared" si="160"/>
        <v>0.15000000000000036</v>
      </c>
      <c r="J172" s="15"/>
      <c r="K172" s="15"/>
      <c r="L172" s="15"/>
      <c r="M172" s="15"/>
      <c r="N172" s="15">
        <f t="shared" si="161"/>
        <v>40.5</v>
      </c>
      <c r="O172" s="15">
        <f t="shared" si="162"/>
        <v>0.4</v>
      </c>
      <c r="P172" s="15"/>
      <c r="Q172" s="15"/>
      <c r="R172" s="15"/>
      <c r="S172" s="15"/>
      <c r="T172" s="45">
        <f t="shared" si="163"/>
        <v>2.95</v>
      </c>
      <c r="U172" s="45">
        <f t="shared" ref="U172" si="164">(G172+H172*2)*I172</f>
        <v>6.1950000000000145</v>
      </c>
      <c r="V172" s="45"/>
      <c r="W172" s="15"/>
      <c r="X172" s="15"/>
      <c r="Y172" s="46">
        <f t="shared" si="90"/>
        <v>16.2</v>
      </c>
      <c r="Z172" s="46">
        <f t="shared" si="91"/>
        <v>2.4300000000000055</v>
      </c>
      <c r="AA172" s="46">
        <f t="shared" si="92"/>
        <v>16.2</v>
      </c>
      <c r="AB172" s="46">
        <f t="shared" si="93"/>
        <v>6.1950000000000145</v>
      </c>
      <c r="AC172" s="46">
        <f t="shared" si="106"/>
        <v>16.2</v>
      </c>
      <c r="AD172" s="15"/>
      <c r="AF172" s="3"/>
    </row>
    <row r="173" spans="1:32" x14ac:dyDescent="0.25">
      <c r="A173" s="25" t="s">
        <v>27</v>
      </c>
      <c r="B173" s="32"/>
      <c r="C173" s="26"/>
      <c r="D173" s="27" t="s">
        <v>220</v>
      </c>
      <c r="E173" s="29" t="s">
        <v>138</v>
      </c>
      <c r="F173" s="28" t="s">
        <v>223</v>
      </c>
      <c r="G173" s="45">
        <v>19</v>
      </c>
      <c r="H173" s="45">
        <v>0.4</v>
      </c>
      <c r="I173" s="45">
        <f t="shared" si="160"/>
        <v>0.15000000000000036</v>
      </c>
      <c r="J173" s="15"/>
      <c r="K173" s="15"/>
      <c r="L173" s="15"/>
      <c r="M173" s="15"/>
      <c r="N173" s="15">
        <f t="shared" si="161"/>
        <v>19</v>
      </c>
      <c r="O173" s="15">
        <f t="shared" si="162"/>
        <v>0.4</v>
      </c>
      <c r="P173" s="15"/>
      <c r="Q173" s="15"/>
      <c r="R173" s="15"/>
      <c r="S173" s="15"/>
      <c r="T173" s="45">
        <f t="shared" si="163"/>
        <v>2.95</v>
      </c>
      <c r="U173" s="45">
        <f>(G173-H173)*I173</f>
        <v>2.7900000000000067</v>
      </c>
      <c r="V173" s="45"/>
      <c r="W173" s="15"/>
      <c r="X173" s="15"/>
      <c r="Y173" s="46">
        <f t="shared" si="90"/>
        <v>7.6000000000000005</v>
      </c>
      <c r="Z173" s="46">
        <f t="shared" si="91"/>
        <v>1.1400000000000028</v>
      </c>
      <c r="AA173" s="46">
        <f t="shared" si="92"/>
        <v>7.6000000000000005</v>
      </c>
      <c r="AB173" s="46">
        <f t="shared" si="93"/>
        <v>2.7900000000000067</v>
      </c>
      <c r="AC173" s="46">
        <f t="shared" si="106"/>
        <v>7.6000000000000005</v>
      </c>
      <c r="AD173" s="15"/>
      <c r="AF173" s="3"/>
    </row>
    <row r="174" spans="1:32" x14ac:dyDescent="0.25">
      <c r="A174" s="25" t="s">
        <v>27</v>
      </c>
      <c r="B174" s="32"/>
      <c r="C174" s="26"/>
      <c r="D174" s="27" t="s">
        <v>221</v>
      </c>
      <c r="E174" s="29" t="s">
        <v>138</v>
      </c>
      <c r="F174" s="28" t="s">
        <v>223</v>
      </c>
      <c r="G174" s="45">
        <f>29.55</f>
        <v>29.55</v>
      </c>
      <c r="H174" s="45">
        <v>0.4</v>
      </c>
      <c r="I174" s="45">
        <f t="shared" si="160"/>
        <v>0.15000000000000036</v>
      </c>
      <c r="J174" s="15"/>
      <c r="K174" s="15"/>
      <c r="L174" s="15"/>
      <c r="M174" s="15"/>
      <c r="N174" s="15">
        <f t="shared" ref="N174:N176" si="165">G174</f>
        <v>29.55</v>
      </c>
      <c r="O174" s="15">
        <f t="shared" ref="O174:O176" si="166">H174</f>
        <v>0.4</v>
      </c>
      <c r="P174" s="15"/>
      <c r="Q174" s="15"/>
      <c r="R174" s="15"/>
      <c r="S174" s="15"/>
      <c r="T174" s="45">
        <f t="shared" si="163"/>
        <v>2.95</v>
      </c>
      <c r="U174" s="45">
        <f>(G174+H174)*I174</f>
        <v>4.4925000000000104</v>
      </c>
      <c r="V174" s="45"/>
      <c r="W174" s="15"/>
      <c r="X174" s="15"/>
      <c r="Y174" s="46">
        <f t="shared" si="90"/>
        <v>11.82</v>
      </c>
      <c r="Z174" s="46">
        <f t="shared" si="91"/>
        <v>1.7730000000000044</v>
      </c>
      <c r="AA174" s="46">
        <f t="shared" si="92"/>
        <v>11.82</v>
      </c>
      <c r="AB174" s="46">
        <f t="shared" si="93"/>
        <v>4.4925000000000104</v>
      </c>
      <c r="AC174" s="46">
        <f t="shared" si="106"/>
        <v>11.82</v>
      </c>
      <c r="AD174" s="15"/>
      <c r="AF174" s="3"/>
    </row>
    <row r="175" spans="1:32" x14ac:dyDescent="0.25">
      <c r="A175" s="25" t="s">
        <v>27</v>
      </c>
      <c r="B175" s="32"/>
      <c r="C175" s="26"/>
      <c r="D175" s="27" t="s">
        <v>222</v>
      </c>
      <c r="E175" s="29" t="s">
        <v>138</v>
      </c>
      <c r="F175" s="28" t="s">
        <v>223</v>
      </c>
      <c r="G175" s="45">
        <v>28.2</v>
      </c>
      <c r="H175" s="45">
        <v>0.4</v>
      </c>
      <c r="I175" s="45">
        <f t="shared" si="160"/>
        <v>0.15000000000000036</v>
      </c>
      <c r="J175" s="15"/>
      <c r="K175" s="15"/>
      <c r="L175" s="15"/>
      <c r="M175" s="15"/>
      <c r="N175" s="15">
        <f t="shared" si="165"/>
        <v>28.2</v>
      </c>
      <c r="O175" s="15">
        <f t="shared" si="166"/>
        <v>0.4</v>
      </c>
      <c r="P175" s="15"/>
      <c r="Q175" s="15"/>
      <c r="R175" s="15"/>
      <c r="S175" s="15"/>
      <c r="T175" s="45">
        <f t="shared" si="163"/>
        <v>2.95</v>
      </c>
      <c r="U175" s="45">
        <f>(G175)*I175</f>
        <v>4.2300000000000102</v>
      </c>
      <c r="V175" s="45"/>
      <c r="W175" s="15"/>
      <c r="X175" s="15"/>
      <c r="Y175" s="46">
        <f t="shared" si="90"/>
        <v>11.280000000000001</v>
      </c>
      <c r="Z175" s="46">
        <f t="shared" si="91"/>
        <v>1.6920000000000042</v>
      </c>
      <c r="AA175" s="46">
        <f t="shared" si="92"/>
        <v>11.280000000000001</v>
      </c>
      <c r="AB175" s="46">
        <f t="shared" si="93"/>
        <v>4.2300000000000102</v>
      </c>
      <c r="AC175" s="46">
        <f t="shared" si="106"/>
        <v>11.280000000000001</v>
      </c>
      <c r="AD175" s="15"/>
      <c r="AF175" s="3"/>
    </row>
    <row r="176" spans="1:32" x14ac:dyDescent="0.25">
      <c r="A176" s="25" t="s">
        <v>27</v>
      </c>
      <c r="B176" s="32"/>
      <c r="C176" s="26"/>
      <c r="D176" s="27" t="s">
        <v>224</v>
      </c>
      <c r="E176" s="29" t="s">
        <v>358</v>
      </c>
      <c r="F176" s="28" t="s">
        <v>359</v>
      </c>
      <c r="G176" s="45">
        <v>0.62</v>
      </c>
      <c r="H176" s="45">
        <v>0.24</v>
      </c>
      <c r="I176" s="45">
        <f>9.55-(6.65+2.7)</f>
        <v>0.19999999999999929</v>
      </c>
      <c r="J176" s="15"/>
      <c r="K176" s="15"/>
      <c r="L176" s="15"/>
      <c r="M176" s="15"/>
      <c r="N176" s="15">
        <f t="shared" si="165"/>
        <v>0.62</v>
      </c>
      <c r="O176" s="15">
        <f t="shared" si="166"/>
        <v>0.24</v>
      </c>
      <c r="P176" s="15"/>
      <c r="Q176" s="15"/>
      <c r="R176" s="15"/>
      <c r="S176" s="15"/>
      <c r="T176" s="45">
        <f>9.35-6.65</f>
        <v>2.6999999999999993</v>
      </c>
      <c r="U176" s="45">
        <f t="shared" ref="U176" si="167">G176*2*I176</f>
        <v>0.24799999999999911</v>
      </c>
      <c r="V176" s="45"/>
      <c r="W176" s="15"/>
      <c r="X176" s="15"/>
      <c r="Y176" s="46">
        <f t="shared" si="90"/>
        <v>0.14879999999999999</v>
      </c>
      <c r="Z176" s="46">
        <f t="shared" si="91"/>
        <v>2.9759999999999891E-2</v>
      </c>
      <c r="AA176" s="46">
        <f t="shared" si="92"/>
        <v>0.14879999999999999</v>
      </c>
      <c r="AB176" s="46">
        <f t="shared" si="93"/>
        <v>0.24799999999999911</v>
      </c>
      <c r="AC176" s="46">
        <f t="shared" si="106"/>
        <v>0.14879999999999999</v>
      </c>
      <c r="AD176" s="15"/>
      <c r="AF176" s="3"/>
    </row>
    <row r="177" spans="1:32" x14ac:dyDescent="0.25">
      <c r="A177" s="25" t="s">
        <v>27</v>
      </c>
      <c r="B177" s="32"/>
      <c r="C177" s="26"/>
      <c r="D177" s="27" t="s">
        <v>225</v>
      </c>
      <c r="E177" s="29" t="s">
        <v>358</v>
      </c>
      <c r="F177" s="28" t="s">
        <v>359</v>
      </c>
      <c r="G177" s="45">
        <v>2.52</v>
      </c>
      <c r="H177" s="45">
        <v>0.24</v>
      </c>
      <c r="I177" s="45">
        <f t="shared" ref="I177:I222" si="168">9.55-(6.65+2.7)</f>
        <v>0.19999999999999929</v>
      </c>
      <c r="J177" s="15"/>
      <c r="K177" s="15"/>
      <c r="L177" s="15"/>
      <c r="M177" s="15"/>
      <c r="N177" s="15">
        <f t="shared" ref="N177:N204" si="169">G177</f>
        <v>2.52</v>
      </c>
      <c r="O177" s="15">
        <f t="shared" ref="O177:O204" si="170">H177</f>
        <v>0.24</v>
      </c>
      <c r="P177" s="15"/>
      <c r="Q177" s="15"/>
      <c r="R177" s="15"/>
      <c r="S177" s="15"/>
      <c r="T177" s="45">
        <f t="shared" ref="T177:T222" si="171">9.35-6.65</f>
        <v>2.6999999999999993</v>
      </c>
      <c r="U177" s="45">
        <f t="shared" ref="U177:U204" si="172">G177*2*I177</f>
        <v>1.0079999999999965</v>
      </c>
      <c r="V177" s="45"/>
      <c r="W177" s="15"/>
      <c r="X177" s="15"/>
      <c r="Y177" s="46">
        <f t="shared" si="90"/>
        <v>0.6048</v>
      </c>
      <c r="Z177" s="46">
        <f t="shared" si="91"/>
        <v>0.12095999999999957</v>
      </c>
      <c r="AA177" s="46">
        <f t="shared" si="92"/>
        <v>0.6048</v>
      </c>
      <c r="AB177" s="46">
        <f t="shared" si="93"/>
        <v>1.0079999999999965</v>
      </c>
      <c r="AC177" s="46">
        <f t="shared" si="106"/>
        <v>0.6048</v>
      </c>
      <c r="AD177" s="15"/>
      <c r="AF177" s="3"/>
    </row>
    <row r="178" spans="1:32" x14ac:dyDescent="0.25">
      <c r="A178" s="25" t="s">
        <v>27</v>
      </c>
      <c r="B178" s="32"/>
      <c r="C178" s="26"/>
      <c r="D178" s="27" t="s">
        <v>226</v>
      </c>
      <c r="E178" s="29" t="s">
        <v>358</v>
      </c>
      <c r="F178" s="28" t="s">
        <v>359</v>
      </c>
      <c r="G178" s="45">
        <v>2.12</v>
      </c>
      <c r="H178" s="45">
        <v>0.24</v>
      </c>
      <c r="I178" s="45">
        <f t="shared" si="168"/>
        <v>0.19999999999999929</v>
      </c>
      <c r="J178" s="15"/>
      <c r="K178" s="15"/>
      <c r="L178" s="15"/>
      <c r="M178" s="15"/>
      <c r="N178" s="15">
        <f t="shared" si="169"/>
        <v>2.12</v>
      </c>
      <c r="O178" s="15">
        <f t="shared" si="170"/>
        <v>0.24</v>
      </c>
      <c r="P178" s="15"/>
      <c r="Q178" s="15"/>
      <c r="R178" s="15"/>
      <c r="S178" s="15"/>
      <c r="T178" s="45">
        <f t="shared" si="171"/>
        <v>2.6999999999999993</v>
      </c>
      <c r="U178" s="45">
        <f t="shared" si="172"/>
        <v>0.84799999999999698</v>
      </c>
      <c r="V178" s="45"/>
      <c r="W178" s="15"/>
      <c r="X178" s="15"/>
      <c r="Y178" s="46">
        <f t="shared" si="90"/>
        <v>0.50880000000000003</v>
      </c>
      <c r="Z178" s="46">
        <f t="shared" si="91"/>
        <v>0.10175999999999964</v>
      </c>
      <c r="AA178" s="46">
        <f t="shared" si="92"/>
        <v>0.50880000000000003</v>
      </c>
      <c r="AB178" s="46">
        <f t="shared" si="93"/>
        <v>0.84799999999999698</v>
      </c>
      <c r="AC178" s="46">
        <f t="shared" si="106"/>
        <v>0.50880000000000003</v>
      </c>
      <c r="AD178" s="15"/>
      <c r="AF178" s="3"/>
    </row>
    <row r="179" spans="1:32" x14ac:dyDescent="0.25">
      <c r="A179" s="25" t="s">
        <v>27</v>
      </c>
      <c r="B179" s="32"/>
      <c r="C179" s="26"/>
      <c r="D179" s="27" t="s">
        <v>227</v>
      </c>
      <c r="E179" s="29" t="s">
        <v>358</v>
      </c>
      <c r="F179" s="28" t="s">
        <v>359</v>
      </c>
      <c r="G179" s="45">
        <v>2.12</v>
      </c>
      <c r="H179" s="45">
        <v>0.24</v>
      </c>
      <c r="I179" s="45">
        <f t="shared" si="168"/>
        <v>0.19999999999999929</v>
      </c>
      <c r="J179" s="15"/>
      <c r="K179" s="15"/>
      <c r="L179" s="15"/>
      <c r="M179" s="15"/>
      <c r="N179" s="15">
        <f t="shared" si="169"/>
        <v>2.12</v>
      </c>
      <c r="O179" s="15">
        <f t="shared" si="170"/>
        <v>0.24</v>
      </c>
      <c r="P179" s="15"/>
      <c r="Q179" s="15"/>
      <c r="R179" s="15"/>
      <c r="S179" s="15"/>
      <c r="T179" s="45">
        <f t="shared" si="171"/>
        <v>2.6999999999999993</v>
      </c>
      <c r="U179" s="45">
        <f t="shared" si="172"/>
        <v>0.84799999999999698</v>
      </c>
      <c r="V179" s="45"/>
      <c r="W179" s="15"/>
      <c r="X179" s="15"/>
      <c r="Y179" s="46">
        <f t="shared" si="90"/>
        <v>0.50880000000000003</v>
      </c>
      <c r="Z179" s="46">
        <f t="shared" si="91"/>
        <v>0.10175999999999964</v>
      </c>
      <c r="AA179" s="46">
        <f t="shared" si="92"/>
        <v>0.50880000000000003</v>
      </c>
      <c r="AB179" s="46">
        <f t="shared" si="93"/>
        <v>0.84799999999999698</v>
      </c>
      <c r="AC179" s="46">
        <f t="shared" si="106"/>
        <v>0.50880000000000003</v>
      </c>
      <c r="AD179" s="15"/>
      <c r="AF179" s="3"/>
    </row>
    <row r="180" spans="1:32" x14ac:dyDescent="0.25">
      <c r="A180" s="25" t="s">
        <v>27</v>
      </c>
      <c r="B180" s="32"/>
      <c r="C180" s="26"/>
      <c r="D180" s="27" t="s">
        <v>228</v>
      </c>
      <c r="E180" s="29" t="s">
        <v>358</v>
      </c>
      <c r="F180" s="28" t="s">
        <v>359</v>
      </c>
      <c r="G180" s="45">
        <v>2.12</v>
      </c>
      <c r="H180" s="45">
        <v>0.24</v>
      </c>
      <c r="I180" s="45">
        <f t="shared" si="168"/>
        <v>0.19999999999999929</v>
      </c>
      <c r="J180" s="15"/>
      <c r="K180" s="15"/>
      <c r="L180" s="15"/>
      <c r="M180" s="15"/>
      <c r="N180" s="15">
        <f t="shared" si="169"/>
        <v>2.12</v>
      </c>
      <c r="O180" s="15">
        <f t="shared" si="170"/>
        <v>0.24</v>
      </c>
      <c r="P180" s="15"/>
      <c r="Q180" s="15"/>
      <c r="R180" s="15"/>
      <c r="S180" s="15"/>
      <c r="T180" s="45">
        <f t="shared" si="171"/>
        <v>2.6999999999999993</v>
      </c>
      <c r="U180" s="45">
        <f t="shared" si="172"/>
        <v>0.84799999999999698</v>
      </c>
      <c r="V180" s="45"/>
      <c r="W180" s="15"/>
      <c r="X180" s="15"/>
      <c r="Y180" s="46">
        <f t="shared" si="90"/>
        <v>0.50880000000000003</v>
      </c>
      <c r="Z180" s="46">
        <f t="shared" si="91"/>
        <v>0.10175999999999964</v>
      </c>
      <c r="AA180" s="46">
        <f t="shared" si="92"/>
        <v>0.50880000000000003</v>
      </c>
      <c r="AB180" s="46">
        <f t="shared" si="93"/>
        <v>0.84799999999999698</v>
      </c>
      <c r="AC180" s="46">
        <f t="shared" si="106"/>
        <v>0.50880000000000003</v>
      </c>
      <c r="AD180" s="15"/>
      <c r="AF180" s="3"/>
    </row>
    <row r="181" spans="1:32" x14ac:dyDescent="0.25">
      <c r="A181" s="25" t="s">
        <v>27</v>
      </c>
      <c r="B181" s="32"/>
      <c r="C181" s="26"/>
      <c r="D181" s="27" t="s">
        <v>229</v>
      </c>
      <c r="E181" s="29" t="s">
        <v>358</v>
      </c>
      <c r="F181" s="28" t="s">
        <v>359</v>
      </c>
      <c r="G181" s="45">
        <v>2.12</v>
      </c>
      <c r="H181" s="45">
        <v>0.24</v>
      </c>
      <c r="I181" s="45">
        <f t="shared" si="168"/>
        <v>0.19999999999999929</v>
      </c>
      <c r="J181" s="15"/>
      <c r="K181" s="15"/>
      <c r="L181" s="15"/>
      <c r="M181" s="15"/>
      <c r="N181" s="15">
        <f t="shared" si="169"/>
        <v>2.12</v>
      </c>
      <c r="O181" s="15">
        <f t="shared" si="170"/>
        <v>0.24</v>
      </c>
      <c r="P181" s="15"/>
      <c r="Q181" s="15"/>
      <c r="R181" s="15"/>
      <c r="S181" s="15"/>
      <c r="T181" s="45">
        <f t="shared" si="171"/>
        <v>2.6999999999999993</v>
      </c>
      <c r="U181" s="45">
        <f t="shared" si="172"/>
        <v>0.84799999999999698</v>
      </c>
      <c r="V181" s="45"/>
      <c r="W181" s="15"/>
      <c r="X181" s="15"/>
      <c r="Y181" s="46">
        <f t="shared" si="90"/>
        <v>0.50880000000000003</v>
      </c>
      <c r="Z181" s="46">
        <f t="shared" si="91"/>
        <v>0.10175999999999964</v>
      </c>
      <c r="AA181" s="46">
        <f t="shared" si="92"/>
        <v>0.50880000000000003</v>
      </c>
      <c r="AB181" s="46">
        <f t="shared" si="93"/>
        <v>0.84799999999999698</v>
      </c>
      <c r="AC181" s="46">
        <f t="shared" si="106"/>
        <v>0.50880000000000003</v>
      </c>
      <c r="AD181" s="15"/>
      <c r="AF181" s="3"/>
    </row>
    <row r="182" spans="1:32" x14ac:dyDescent="0.25">
      <c r="A182" s="25" t="s">
        <v>27</v>
      </c>
      <c r="B182" s="32"/>
      <c r="C182" s="26"/>
      <c r="D182" s="27" t="s">
        <v>230</v>
      </c>
      <c r="E182" s="29" t="s">
        <v>358</v>
      </c>
      <c r="F182" s="28" t="s">
        <v>359</v>
      </c>
      <c r="G182" s="45">
        <v>2.12</v>
      </c>
      <c r="H182" s="45">
        <v>0.24</v>
      </c>
      <c r="I182" s="45">
        <f t="shared" si="168"/>
        <v>0.19999999999999929</v>
      </c>
      <c r="J182" s="15"/>
      <c r="K182" s="15"/>
      <c r="L182" s="15"/>
      <c r="M182" s="15"/>
      <c r="N182" s="15">
        <f t="shared" si="169"/>
        <v>2.12</v>
      </c>
      <c r="O182" s="15">
        <f t="shared" si="170"/>
        <v>0.24</v>
      </c>
      <c r="P182" s="15"/>
      <c r="Q182" s="15"/>
      <c r="R182" s="15"/>
      <c r="S182" s="15"/>
      <c r="T182" s="45">
        <f t="shared" si="171"/>
        <v>2.6999999999999993</v>
      </c>
      <c r="U182" s="45">
        <f t="shared" si="172"/>
        <v>0.84799999999999698</v>
      </c>
      <c r="V182" s="45"/>
      <c r="W182" s="15"/>
      <c r="X182" s="15"/>
      <c r="Y182" s="46">
        <f t="shared" si="90"/>
        <v>0.50880000000000003</v>
      </c>
      <c r="Z182" s="46">
        <f t="shared" si="91"/>
        <v>0.10175999999999964</v>
      </c>
      <c r="AA182" s="46">
        <f t="shared" si="92"/>
        <v>0.50880000000000003</v>
      </c>
      <c r="AB182" s="46">
        <f t="shared" si="93"/>
        <v>0.84799999999999698</v>
      </c>
      <c r="AC182" s="46">
        <f t="shared" si="106"/>
        <v>0.50880000000000003</v>
      </c>
      <c r="AD182" s="15"/>
      <c r="AF182" s="3"/>
    </row>
    <row r="183" spans="1:32" x14ac:dyDescent="0.25">
      <c r="A183" s="25" t="s">
        <v>27</v>
      </c>
      <c r="B183" s="32"/>
      <c r="C183" s="26"/>
      <c r="D183" s="27" t="s">
        <v>231</v>
      </c>
      <c r="E183" s="29" t="s">
        <v>358</v>
      </c>
      <c r="F183" s="28" t="s">
        <v>359</v>
      </c>
      <c r="G183" s="45">
        <v>2.12</v>
      </c>
      <c r="H183" s="45">
        <v>0.24</v>
      </c>
      <c r="I183" s="45">
        <f t="shared" si="168"/>
        <v>0.19999999999999929</v>
      </c>
      <c r="J183" s="15"/>
      <c r="K183" s="15"/>
      <c r="L183" s="15"/>
      <c r="M183" s="15"/>
      <c r="N183" s="15">
        <f t="shared" si="169"/>
        <v>2.12</v>
      </c>
      <c r="O183" s="15">
        <f t="shared" si="170"/>
        <v>0.24</v>
      </c>
      <c r="P183" s="15"/>
      <c r="Q183" s="15"/>
      <c r="R183" s="15"/>
      <c r="S183" s="15"/>
      <c r="T183" s="45">
        <f t="shared" si="171"/>
        <v>2.6999999999999993</v>
      </c>
      <c r="U183" s="45">
        <f t="shared" si="172"/>
        <v>0.84799999999999698</v>
      </c>
      <c r="V183" s="45"/>
      <c r="W183" s="15"/>
      <c r="X183" s="15"/>
      <c r="Y183" s="46">
        <f t="shared" si="90"/>
        <v>0.50880000000000003</v>
      </c>
      <c r="Z183" s="46">
        <f t="shared" si="91"/>
        <v>0.10175999999999964</v>
      </c>
      <c r="AA183" s="46">
        <f t="shared" si="92"/>
        <v>0.50880000000000003</v>
      </c>
      <c r="AB183" s="46">
        <f t="shared" si="93"/>
        <v>0.84799999999999698</v>
      </c>
      <c r="AC183" s="46">
        <f t="shared" si="106"/>
        <v>0.50880000000000003</v>
      </c>
      <c r="AD183" s="15"/>
      <c r="AF183" s="3"/>
    </row>
    <row r="184" spans="1:32" x14ac:dyDescent="0.25">
      <c r="A184" s="25" t="s">
        <v>27</v>
      </c>
      <c r="B184" s="32"/>
      <c r="C184" s="26"/>
      <c r="D184" s="27" t="s">
        <v>232</v>
      </c>
      <c r="E184" s="29" t="s">
        <v>358</v>
      </c>
      <c r="F184" s="28" t="s">
        <v>359</v>
      </c>
      <c r="G184" s="45">
        <v>2.12</v>
      </c>
      <c r="H184" s="45">
        <v>0.24</v>
      </c>
      <c r="I184" s="45">
        <f t="shared" si="168"/>
        <v>0.19999999999999929</v>
      </c>
      <c r="J184" s="15"/>
      <c r="K184" s="15"/>
      <c r="L184" s="15"/>
      <c r="M184" s="15"/>
      <c r="N184" s="15">
        <f t="shared" si="169"/>
        <v>2.12</v>
      </c>
      <c r="O184" s="15">
        <f t="shared" si="170"/>
        <v>0.24</v>
      </c>
      <c r="P184" s="15"/>
      <c r="Q184" s="15"/>
      <c r="R184" s="15"/>
      <c r="S184" s="15"/>
      <c r="T184" s="45">
        <f t="shared" si="171"/>
        <v>2.6999999999999993</v>
      </c>
      <c r="U184" s="45">
        <f t="shared" si="172"/>
        <v>0.84799999999999698</v>
      </c>
      <c r="V184" s="45"/>
      <c r="W184" s="15"/>
      <c r="X184" s="15"/>
      <c r="Y184" s="46">
        <f t="shared" si="90"/>
        <v>0.50880000000000003</v>
      </c>
      <c r="Z184" s="46">
        <f t="shared" si="91"/>
        <v>0.10175999999999964</v>
      </c>
      <c r="AA184" s="46">
        <f t="shared" si="92"/>
        <v>0.50880000000000003</v>
      </c>
      <c r="AB184" s="46">
        <f t="shared" si="93"/>
        <v>0.84799999999999698</v>
      </c>
      <c r="AC184" s="46">
        <f t="shared" si="106"/>
        <v>0.50880000000000003</v>
      </c>
      <c r="AD184" s="15"/>
      <c r="AF184" s="3"/>
    </row>
    <row r="185" spans="1:32" x14ac:dyDescent="0.25">
      <c r="A185" s="25" t="s">
        <v>27</v>
      </c>
      <c r="B185" s="32"/>
      <c r="C185" s="26"/>
      <c r="D185" s="27" t="s">
        <v>233</v>
      </c>
      <c r="E185" s="29" t="s">
        <v>358</v>
      </c>
      <c r="F185" s="28" t="s">
        <v>359</v>
      </c>
      <c r="G185" s="45">
        <v>0.62</v>
      </c>
      <c r="H185" s="45">
        <v>0.24</v>
      </c>
      <c r="I185" s="45">
        <f t="shared" si="168"/>
        <v>0.19999999999999929</v>
      </c>
      <c r="J185" s="15"/>
      <c r="K185" s="15"/>
      <c r="L185" s="15"/>
      <c r="M185" s="15"/>
      <c r="N185" s="15">
        <f t="shared" si="169"/>
        <v>0.62</v>
      </c>
      <c r="O185" s="15">
        <f t="shared" si="170"/>
        <v>0.24</v>
      </c>
      <c r="P185" s="15"/>
      <c r="Q185" s="15"/>
      <c r="R185" s="15"/>
      <c r="S185" s="15"/>
      <c r="T185" s="45">
        <f t="shared" si="171"/>
        <v>2.6999999999999993</v>
      </c>
      <c r="U185" s="45">
        <f t="shared" si="172"/>
        <v>0.24799999999999911</v>
      </c>
      <c r="V185" s="45"/>
      <c r="W185" s="15"/>
      <c r="X185" s="15"/>
      <c r="Y185" s="46">
        <f t="shared" si="90"/>
        <v>0.14879999999999999</v>
      </c>
      <c r="Z185" s="46">
        <f t="shared" si="91"/>
        <v>2.9759999999999891E-2</v>
      </c>
      <c r="AA185" s="46">
        <f t="shared" si="92"/>
        <v>0.14879999999999999</v>
      </c>
      <c r="AB185" s="46">
        <f t="shared" si="93"/>
        <v>0.24799999999999911</v>
      </c>
      <c r="AC185" s="46">
        <f t="shared" si="106"/>
        <v>0.14879999999999999</v>
      </c>
      <c r="AD185" s="15"/>
      <c r="AF185" s="3"/>
    </row>
    <row r="186" spans="1:32" x14ac:dyDescent="0.25">
      <c r="A186" s="25" t="s">
        <v>27</v>
      </c>
      <c r="B186" s="32"/>
      <c r="C186" s="26"/>
      <c r="D186" s="27" t="s">
        <v>234</v>
      </c>
      <c r="E186" s="29" t="s">
        <v>358</v>
      </c>
      <c r="F186" s="28" t="s">
        <v>359</v>
      </c>
      <c r="G186" s="45">
        <v>2.61</v>
      </c>
      <c r="H186" s="45">
        <v>0.24</v>
      </c>
      <c r="I186" s="45">
        <f t="shared" si="168"/>
        <v>0.19999999999999929</v>
      </c>
      <c r="J186" s="15"/>
      <c r="K186" s="15"/>
      <c r="L186" s="15"/>
      <c r="M186" s="15"/>
      <c r="N186" s="15">
        <f t="shared" si="169"/>
        <v>2.61</v>
      </c>
      <c r="O186" s="15">
        <f t="shared" si="170"/>
        <v>0.24</v>
      </c>
      <c r="P186" s="15"/>
      <c r="Q186" s="15"/>
      <c r="R186" s="15"/>
      <c r="S186" s="15"/>
      <c r="T186" s="45">
        <f t="shared" si="171"/>
        <v>2.6999999999999993</v>
      </c>
      <c r="U186" s="45">
        <f t="shared" si="172"/>
        <v>1.0439999999999963</v>
      </c>
      <c r="V186" s="45"/>
      <c r="W186" s="15"/>
      <c r="X186" s="15"/>
      <c r="Y186" s="46">
        <f t="shared" si="90"/>
        <v>0.62639999999999996</v>
      </c>
      <c r="Z186" s="46">
        <f t="shared" si="91"/>
        <v>0.12527999999999956</v>
      </c>
      <c r="AA186" s="46">
        <f t="shared" si="92"/>
        <v>0.62639999999999996</v>
      </c>
      <c r="AB186" s="46">
        <f t="shared" si="93"/>
        <v>1.0439999999999963</v>
      </c>
      <c r="AC186" s="46">
        <f t="shared" si="106"/>
        <v>0.62639999999999996</v>
      </c>
      <c r="AD186" s="15"/>
      <c r="AF186" s="3"/>
    </row>
    <row r="187" spans="1:32" x14ac:dyDescent="0.25">
      <c r="A187" s="25" t="s">
        <v>27</v>
      </c>
      <c r="B187" s="32"/>
      <c r="C187" s="26"/>
      <c r="D187" s="27" t="s">
        <v>235</v>
      </c>
      <c r="E187" s="29" t="s">
        <v>358</v>
      </c>
      <c r="F187" s="28" t="s">
        <v>359</v>
      </c>
      <c r="G187" s="45">
        <v>2.6</v>
      </c>
      <c r="H187" s="45">
        <v>0.24</v>
      </c>
      <c r="I187" s="45">
        <f t="shared" si="168"/>
        <v>0.19999999999999929</v>
      </c>
      <c r="J187" s="15"/>
      <c r="K187" s="15"/>
      <c r="L187" s="15"/>
      <c r="M187" s="15"/>
      <c r="N187" s="15">
        <f t="shared" si="169"/>
        <v>2.6</v>
      </c>
      <c r="O187" s="15">
        <f t="shared" si="170"/>
        <v>0.24</v>
      </c>
      <c r="P187" s="15"/>
      <c r="Q187" s="15"/>
      <c r="R187" s="15"/>
      <c r="S187" s="15"/>
      <c r="T187" s="45">
        <f t="shared" si="171"/>
        <v>2.6999999999999993</v>
      </c>
      <c r="U187" s="45">
        <f t="shared" si="172"/>
        <v>1.0399999999999963</v>
      </c>
      <c r="V187" s="45"/>
      <c r="W187" s="15"/>
      <c r="X187" s="15"/>
      <c r="Y187" s="46">
        <f t="shared" si="90"/>
        <v>0.624</v>
      </c>
      <c r="Z187" s="46">
        <f t="shared" si="91"/>
        <v>0.12479999999999955</v>
      </c>
      <c r="AA187" s="46">
        <f t="shared" si="92"/>
        <v>0.624</v>
      </c>
      <c r="AB187" s="46">
        <f t="shared" si="93"/>
        <v>1.0399999999999963</v>
      </c>
      <c r="AC187" s="46">
        <f t="shared" si="106"/>
        <v>0.624</v>
      </c>
      <c r="AD187" s="15"/>
      <c r="AF187" s="3"/>
    </row>
    <row r="188" spans="1:32" x14ac:dyDescent="0.25">
      <c r="A188" s="25" t="s">
        <v>27</v>
      </c>
      <c r="B188" s="32"/>
      <c r="C188" s="26"/>
      <c r="D188" s="27" t="s">
        <v>236</v>
      </c>
      <c r="E188" s="29" t="s">
        <v>358</v>
      </c>
      <c r="F188" s="28" t="s">
        <v>359</v>
      </c>
      <c r="G188" s="45">
        <v>2.6</v>
      </c>
      <c r="H188" s="45">
        <v>0.24</v>
      </c>
      <c r="I188" s="45">
        <f t="shared" si="168"/>
        <v>0.19999999999999929</v>
      </c>
      <c r="J188" s="15"/>
      <c r="K188" s="15"/>
      <c r="L188" s="15"/>
      <c r="M188" s="15"/>
      <c r="N188" s="15">
        <f t="shared" si="169"/>
        <v>2.6</v>
      </c>
      <c r="O188" s="15">
        <f t="shared" si="170"/>
        <v>0.24</v>
      </c>
      <c r="P188" s="15"/>
      <c r="Q188" s="15"/>
      <c r="R188" s="15"/>
      <c r="S188" s="15"/>
      <c r="T188" s="45">
        <f t="shared" si="171"/>
        <v>2.6999999999999993</v>
      </c>
      <c r="U188" s="45">
        <f t="shared" si="172"/>
        <v>1.0399999999999963</v>
      </c>
      <c r="V188" s="45"/>
      <c r="W188" s="15"/>
      <c r="X188" s="15"/>
      <c r="Y188" s="46">
        <f t="shared" si="90"/>
        <v>0.624</v>
      </c>
      <c r="Z188" s="46">
        <f t="shared" si="91"/>
        <v>0.12479999999999955</v>
      </c>
      <c r="AA188" s="46">
        <f t="shared" si="92"/>
        <v>0.624</v>
      </c>
      <c r="AB188" s="46">
        <f t="shared" si="93"/>
        <v>1.0399999999999963</v>
      </c>
      <c r="AC188" s="46">
        <f t="shared" si="106"/>
        <v>0.624</v>
      </c>
      <c r="AD188" s="15"/>
      <c r="AF188" s="3"/>
    </row>
    <row r="189" spans="1:32" x14ac:dyDescent="0.25">
      <c r="A189" s="25" t="s">
        <v>27</v>
      </c>
      <c r="B189" s="32"/>
      <c r="C189" s="26"/>
      <c r="D189" s="27" t="s">
        <v>237</v>
      </c>
      <c r="E189" s="29" t="s">
        <v>358</v>
      </c>
      <c r="F189" s="28" t="s">
        <v>359</v>
      </c>
      <c r="G189" s="45">
        <v>1</v>
      </c>
      <c r="H189" s="45">
        <v>0.24</v>
      </c>
      <c r="I189" s="45">
        <f t="shared" si="168"/>
        <v>0.19999999999999929</v>
      </c>
      <c r="J189" s="15"/>
      <c r="K189" s="15"/>
      <c r="L189" s="15"/>
      <c r="M189" s="15"/>
      <c r="N189" s="15">
        <f t="shared" si="169"/>
        <v>1</v>
      </c>
      <c r="O189" s="15">
        <f t="shared" si="170"/>
        <v>0.24</v>
      </c>
      <c r="P189" s="15"/>
      <c r="Q189" s="15"/>
      <c r="R189" s="15"/>
      <c r="S189" s="15"/>
      <c r="T189" s="45">
        <f t="shared" si="171"/>
        <v>2.6999999999999993</v>
      </c>
      <c r="U189" s="45">
        <f t="shared" si="172"/>
        <v>0.39999999999999858</v>
      </c>
      <c r="V189" s="45"/>
      <c r="W189" s="15"/>
      <c r="X189" s="15"/>
      <c r="Y189" s="46">
        <f t="shared" si="90"/>
        <v>0.24</v>
      </c>
      <c r="Z189" s="46">
        <f t="shared" si="91"/>
        <v>4.7999999999999828E-2</v>
      </c>
      <c r="AA189" s="46">
        <f t="shared" si="92"/>
        <v>0.24</v>
      </c>
      <c r="AB189" s="46">
        <f t="shared" si="93"/>
        <v>0.39999999999999858</v>
      </c>
      <c r="AC189" s="46">
        <f t="shared" si="106"/>
        <v>0.24</v>
      </c>
      <c r="AD189" s="15"/>
      <c r="AF189" s="3"/>
    </row>
    <row r="190" spans="1:32" x14ac:dyDescent="0.25">
      <c r="A190" s="25" t="s">
        <v>27</v>
      </c>
      <c r="B190" s="32"/>
      <c r="C190" s="26"/>
      <c r="D190" s="27" t="s">
        <v>238</v>
      </c>
      <c r="E190" s="29" t="s">
        <v>358</v>
      </c>
      <c r="F190" s="28" t="s">
        <v>359</v>
      </c>
      <c r="G190" s="45">
        <v>2.12</v>
      </c>
      <c r="H190" s="45">
        <v>0.24</v>
      </c>
      <c r="I190" s="45">
        <f t="shared" si="168"/>
        <v>0.19999999999999929</v>
      </c>
      <c r="J190" s="15"/>
      <c r="K190" s="15"/>
      <c r="L190" s="15"/>
      <c r="M190" s="15"/>
      <c r="N190" s="15">
        <f t="shared" si="169"/>
        <v>2.12</v>
      </c>
      <c r="O190" s="15">
        <f t="shared" si="170"/>
        <v>0.24</v>
      </c>
      <c r="P190" s="15"/>
      <c r="Q190" s="15"/>
      <c r="R190" s="15"/>
      <c r="S190" s="15"/>
      <c r="T190" s="45">
        <f t="shared" si="171"/>
        <v>2.6999999999999993</v>
      </c>
      <c r="U190" s="45">
        <f t="shared" si="172"/>
        <v>0.84799999999999698</v>
      </c>
      <c r="V190" s="45"/>
      <c r="W190" s="15"/>
      <c r="X190" s="15"/>
      <c r="Y190" s="46">
        <f t="shared" si="90"/>
        <v>0.50880000000000003</v>
      </c>
      <c r="Z190" s="46">
        <f t="shared" si="91"/>
        <v>0.10175999999999964</v>
      </c>
      <c r="AA190" s="46">
        <f t="shared" si="92"/>
        <v>0.50880000000000003</v>
      </c>
      <c r="AB190" s="46">
        <f t="shared" si="93"/>
        <v>0.84799999999999698</v>
      </c>
      <c r="AC190" s="46">
        <f t="shared" si="106"/>
        <v>0.50880000000000003</v>
      </c>
      <c r="AD190" s="15"/>
      <c r="AF190" s="3"/>
    </row>
    <row r="191" spans="1:32" x14ac:dyDescent="0.25">
      <c r="A191" s="25" t="s">
        <v>27</v>
      </c>
      <c r="B191" s="32"/>
      <c r="C191" s="26"/>
      <c r="D191" s="27" t="s">
        <v>239</v>
      </c>
      <c r="E191" s="29" t="s">
        <v>358</v>
      </c>
      <c r="F191" s="28" t="s">
        <v>359</v>
      </c>
      <c r="G191" s="45">
        <v>2.12</v>
      </c>
      <c r="H191" s="45">
        <v>0.24</v>
      </c>
      <c r="I191" s="45">
        <f t="shared" si="168"/>
        <v>0.19999999999999929</v>
      </c>
      <c r="J191" s="15"/>
      <c r="K191" s="15"/>
      <c r="L191" s="15"/>
      <c r="M191" s="15"/>
      <c r="N191" s="15">
        <f t="shared" si="169"/>
        <v>2.12</v>
      </c>
      <c r="O191" s="15">
        <f t="shared" si="170"/>
        <v>0.24</v>
      </c>
      <c r="P191" s="15"/>
      <c r="Q191" s="15"/>
      <c r="R191" s="15"/>
      <c r="S191" s="15"/>
      <c r="T191" s="45">
        <f t="shared" si="171"/>
        <v>2.6999999999999993</v>
      </c>
      <c r="U191" s="45">
        <f t="shared" si="172"/>
        <v>0.84799999999999698</v>
      </c>
      <c r="V191" s="45"/>
      <c r="W191" s="15"/>
      <c r="X191" s="15"/>
      <c r="Y191" s="46">
        <f t="shared" si="90"/>
        <v>0.50880000000000003</v>
      </c>
      <c r="Z191" s="46">
        <f t="shared" si="91"/>
        <v>0.10175999999999964</v>
      </c>
      <c r="AA191" s="46">
        <f t="shared" si="92"/>
        <v>0.50880000000000003</v>
      </c>
      <c r="AB191" s="46">
        <f t="shared" si="93"/>
        <v>0.84799999999999698</v>
      </c>
      <c r="AC191" s="46">
        <f t="shared" si="106"/>
        <v>0.50880000000000003</v>
      </c>
      <c r="AD191" s="15"/>
      <c r="AF191" s="3"/>
    </row>
    <row r="192" spans="1:32" x14ac:dyDescent="0.25">
      <c r="A192" s="25" t="s">
        <v>27</v>
      </c>
      <c r="B192" s="32"/>
      <c r="C192" s="26"/>
      <c r="D192" s="27" t="s">
        <v>240</v>
      </c>
      <c r="E192" s="29" t="s">
        <v>358</v>
      </c>
      <c r="F192" s="28" t="s">
        <v>359</v>
      </c>
      <c r="G192" s="45">
        <v>2.12</v>
      </c>
      <c r="H192" s="45">
        <v>0.24</v>
      </c>
      <c r="I192" s="45">
        <f t="shared" si="168"/>
        <v>0.19999999999999929</v>
      </c>
      <c r="J192" s="15"/>
      <c r="K192" s="15"/>
      <c r="L192" s="15"/>
      <c r="M192" s="15"/>
      <c r="N192" s="15">
        <f t="shared" si="169"/>
        <v>2.12</v>
      </c>
      <c r="O192" s="15">
        <f t="shared" si="170"/>
        <v>0.24</v>
      </c>
      <c r="P192" s="15"/>
      <c r="Q192" s="15"/>
      <c r="R192" s="15"/>
      <c r="S192" s="15"/>
      <c r="T192" s="45">
        <f t="shared" si="171"/>
        <v>2.6999999999999993</v>
      </c>
      <c r="U192" s="45">
        <f t="shared" si="172"/>
        <v>0.84799999999999698</v>
      </c>
      <c r="V192" s="45"/>
      <c r="W192" s="15"/>
      <c r="X192" s="15"/>
      <c r="Y192" s="46">
        <f t="shared" si="90"/>
        <v>0.50880000000000003</v>
      </c>
      <c r="Z192" s="46">
        <f t="shared" si="91"/>
        <v>0.10175999999999964</v>
      </c>
      <c r="AA192" s="46">
        <f t="shared" si="92"/>
        <v>0.50880000000000003</v>
      </c>
      <c r="AB192" s="46">
        <f t="shared" si="93"/>
        <v>0.84799999999999698</v>
      </c>
      <c r="AC192" s="46">
        <f t="shared" si="106"/>
        <v>0.50880000000000003</v>
      </c>
      <c r="AD192" s="15"/>
      <c r="AF192" s="3"/>
    </row>
    <row r="193" spans="1:32" x14ac:dyDescent="0.25">
      <c r="A193" s="25" t="s">
        <v>27</v>
      </c>
      <c r="B193" s="32"/>
      <c r="C193" s="26"/>
      <c r="D193" s="27" t="s">
        <v>241</v>
      </c>
      <c r="E193" s="29" t="s">
        <v>358</v>
      </c>
      <c r="F193" s="28" t="s">
        <v>359</v>
      </c>
      <c r="G193" s="45">
        <v>0.62</v>
      </c>
      <c r="H193" s="45">
        <v>0.24</v>
      </c>
      <c r="I193" s="45">
        <f t="shared" si="168"/>
        <v>0.19999999999999929</v>
      </c>
      <c r="J193" s="15"/>
      <c r="K193" s="15"/>
      <c r="L193" s="15"/>
      <c r="M193" s="15"/>
      <c r="N193" s="15">
        <f t="shared" si="169"/>
        <v>0.62</v>
      </c>
      <c r="O193" s="15">
        <f t="shared" si="170"/>
        <v>0.24</v>
      </c>
      <c r="P193" s="15"/>
      <c r="Q193" s="15"/>
      <c r="R193" s="15"/>
      <c r="S193" s="15"/>
      <c r="T193" s="45">
        <f t="shared" si="171"/>
        <v>2.6999999999999993</v>
      </c>
      <c r="U193" s="45">
        <f t="shared" si="172"/>
        <v>0.24799999999999911</v>
      </c>
      <c r="V193" s="45"/>
      <c r="W193" s="15"/>
      <c r="X193" s="15"/>
      <c r="Y193" s="46">
        <f t="shared" si="90"/>
        <v>0.14879999999999999</v>
      </c>
      <c r="Z193" s="46">
        <f t="shared" si="91"/>
        <v>2.9759999999999891E-2</v>
      </c>
      <c r="AA193" s="46">
        <f t="shared" si="92"/>
        <v>0.14879999999999999</v>
      </c>
      <c r="AB193" s="46">
        <f t="shared" si="93"/>
        <v>0.24799999999999911</v>
      </c>
      <c r="AC193" s="46">
        <f t="shared" si="106"/>
        <v>0.14879999999999999</v>
      </c>
      <c r="AD193" s="15"/>
      <c r="AF193" s="3"/>
    </row>
    <row r="194" spans="1:32" x14ac:dyDescent="0.25">
      <c r="A194" s="25" t="s">
        <v>27</v>
      </c>
      <c r="B194" s="32"/>
      <c r="C194" s="26"/>
      <c r="D194" s="27" t="s">
        <v>242</v>
      </c>
      <c r="E194" s="29" t="s">
        <v>358</v>
      </c>
      <c r="F194" s="28" t="s">
        <v>359</v>
      </c>
      <c r="G194" s="45">
        <v>2.12</v>
      </c>
      <c r="H194" s="45">
        <v>0.24</v>
      </c>
      <c r="I194" s="45">
        <f t="shared" si="168"/>
        <v>0.19999999999999929</v>
      </c>
      <c r="J194" s="15"/>
      <c r="K194" s="15"/>
      <c r="L194" s="15"/>
      <c r="M194" s="15"/>
      <c r="N194" s="15">
        <f t="shared" si="169"/>
        <v>2.12</v>
      </c>
      <c r="O194" s="15">
        <f t="shared" si="170"/>
        <v>0.24</v>
      </c>
      <c r="P194" s="15"/>
      <c r="Q194" s="15"/>
      <c r="R194" s="15"/>
      <c r="S194" s="15"/>
      <c r="T194" s="45">
        <f t="shared" si="171"/>
        <v>2.6999999999999993</v>
      </c>
      <c r="U194" s="45">
        <f t="shared" si="172"/>
        <v>0.84799999999999698</v>
      </c>
      <c r="V194" s="45"/>
      <c r="W194" s="15"/>
      <c r="X194" s="15"/>
      <c r="Y194" s="46">
        <f t="shared" si="90"/>
        <v>0.50880000000000003</v>
      </c>
      <c r="Z194" s="46">
        <f t="shared" si="91"/>
        <v>0.10175999999999964</v>
      </c>
      <c r="AA194" s="46">
        <f t="shared" si="92"/>
        <v>0.50880000000000003</v>
      </c>
      <c r="AB194" s="46">
        <f t="shared" si="93"/>
        <v>0.84799999999999698</v>
      </c>
      <c r="AC194" s="46">
        <f t="shared" si="106"/>
        <v>0.50880000000000003</v>
      </c>
      <c r="AD194" s="15"/>
      <c r="AF194" s="3"/>
    </row>
    <row r="195" spans="1:32" x14ac:dyDescent="0.25">
      <c r="A195" s="25" t="s">
        <v>27</v>
      </c>
      <c r="B195" s="32"/>
      <c r="C195" s="26"/>
      <c r="D195" s="27" t="s">
        <v>243</v>
      </c>
      <c r="E195" s="29" t="s">
        <v>358</v>
      </c>
      <c r="F195" s="28" t="s">
        <v>359</v>
      </c>
      <c r="G195" s="45">
        <v>0.62</v>
      </c>
      <c r="H195" s="45">
        <v>0.24</v>
      </c>
      <c r="I195" s="45">
        <f t="shared" si="168"/>
        <v>0.19999999999999929</v>
      </c>
      <c r="J195" s="15"/>
      <c r="K195" s="15"/>
      <c r="L195" s="15"/>
      <c r="M195" s="15"/>
      <c r="N195" s="15">
        <f t="shared" si="169"/>
        <v>0.62</v>
      </c>
      <c r="O195" s="15">
        <f t="shared" si="170"/>
        <v>0.24</v>
      </c>
      <c r="P195" s="15"/>
      <c r="Q195" s="15"/>
      <c r="R195" s="15"/>
      <c r="S195" s="15"/>
      <c r="T195" s="45">
        <f t="shared" si="171"/>
        <v>2.6999999999999993</v>
      </c>
      <c r="U195" s="45">
        <f t="shared" si="172"/>
        <v>0.24799999999999911</v>
      </c>
      <c r="V195" s="45"/>
      <c r="W195" s="15"/>
      <c r="X195" s="15"/>
      <c r="Y195" s="46">
        <f t="shared" si="90"/>
        <v>0.14879999999999999</v>
      </c>
      <c r="Z195" s="46">
        <f t="shared" si="91"/>
        <v>2.9759999999999891E-2</v>
      </c>
      <c r="AA195" s="46">
        <f t="shared" si="92"/>
        <v>0.14879999999999999</v>
      </c>
      <c r="AB195" s="46">
        <f t="shared" si="93"/>
        <v>0.24799999999999911</v>
      </c>
      <c r="AC195" s="46">
        <f t="shared" si="106"/>
        <v>0.14879999999999999</v>
      </c>
      <c r="AD195" s="15"/>
      <c r="AF195" s="3"/>
    </row>
    <row r="196" spans="1:32" x14ac:dyDescent="0.25">
      <c r="A196" s="25" t="s">
        <v>27</v>
      </c>
      <c r="B196" s="32"/>
      <c r="C196" s="26"/>
      <c r="D196" s="27" t="s">
        <v>244</v>
      </c>
      <c r="E196" s="29" t="s">
        <v>358</v>
      </c>
      <c r="F196" s="28" t="s">
        <v>359</v>
      </c>
      <c r="G196" s="45">
        <v>2.52</v>
      </c>
      <c r="H196" s="45">
        <v>0.24</v>
      </c>
      <c r="I196" s="45">
        <f t="shared" si="168"/>
        <v>0.19999999999999929</v>
      </c>
      <c r="J196" s="15"/>
      <c r="K196" s="15"/>
      <c r="L196" s="15"/>
      <c r="M196" s="15"/>
      <c r="N196" s="15">
        <f t="shared" si="169"/>
        <v>2.52</v>
      </c>
      <c r="O196" s="15">
        <f t="shared" si="170"/>
        <v>0.24</v>
      </c>
      <c r="P196" s="15"/>
      <c r="Q196" s="15"/>
      <c r="R196" s="15"/>
      <c r="S196" s="15"/>
      <c r="T196" s="45">
        <f t="shared" si="171"/>
        <v>2.6999999999999993</v>
      </c>
      <c r="U196" s="45">
        <f t="shared" si="172"/>
        <v>1.0079999999999965</v>
      </c>
      <c r="V196" s="45"/>
      <c r="W196" s="15"/>
      <c r="X196" s="15"/>
      <c r="Y196" s="46">
        <f t="shared" si="90"/>
        <v>0.6048</v>
      </c>
      <c r="Z196" s="46">
        <f t="shared" si="91"/>
        <v>0.12095999999999957</v>
      </c>
      <c r="AA196" s="46">
        <f t="shared" si="92"/>
        <v>0.6048</v>
      </c>
      <c r="AB196" s="46">
        <f t="shared" si="93"/>
        <v>1.0079999999999965</v>
      </c>
      <c r="AC196" s="46">
        <f t="shared" si="106"/>
        <v>0.6048</v>
      </c>
      <c r="AD196" s="15"/>
      <c r="AF196" s="3"/>
    </row>
    <row r="197" spans="1:32" x14ac:dyDescent="0.25">
      <c r="A197" s="25" t="s">
        <v>27</v>
      </c>
      <c r="B197" s="32"/>
      <c r="C197" s="26"/>
      <c r="D197" s="27" t="s">
        <v>245</v>
      </c>
      <c r="E197" s="29" t="s">
        <v>358</v>
      </c>
      <c r="F197" s="28" t="s">
        <v>359</v>
      </c>
      <c r="G197" s="45">
        <v>2.12</v>
      </c>
      <c r="H197" s="45">
        <v>0.24</v>
      </c>
      <c r="I197" s="45">
        <f t="shared" si="168"/>
        <v>0.19999999999999929</v>
      </c>
      <c r="J197" s="15"/>
      <c r="K197" s="15"/>
      <c r="L197" s="15"/>
      <c r="M197" s="15"/>
      <c r="N197" s="15">
        <f t="shared" si="169"/>
        <v>2.12</v>
      </c>
      <c r="O197" s="15">
        <f t="shared" si="170"/>
        <v>0.24</v>
      </c>
      <c r="P197" s="15"/>
      <c r="Q197" s="15"/>
      <c r="R197" s="15"/>
      <c r="S197" s="15"/>
      <c r="T197" s="45">
        <f t="shared" si="171"/>
        <v>2.6999999999999993</v>
      </c>
      <c r="U197" s="45">
        <f t="shared" si="172"/>
        <v>0.84799999999999698</v>
      </c>
      <c r="V197" s="45"/>
      <c r="W197" s="15"/>
      <c r="X197" s="15"/>
      <c r="Y197" s="46">
        <f t="shared" si="90"/>
        <v>0.50880000000000003</v>
      </c>
      <c r="Z197" s="46">
        <f t="shared" si="91"/>
        <v>0.10175999999999964</v>
      </c>
      <c r="AA197" s="46">
        <f t="shared" si="92"/>
        <v>0.50880000000000003</v>
      </c>
      <c r="AB197" s="46">
        <f t="shared" si="93"/>
        <v>0.84799999999999698</v>
      </c>
      <c r="AC197" s="46">
        <f t="shared" si="106"/>
        <v>0.50880000000000003</v>
      </c>
      <c r="AD197" s="15"/>
      <c r="AF197" s="3"/>
    </row>
    <row r="198" spans="1:32" x14ac:dyDescent="0.25">
      <c r="A198" s="25" t="s">
        <v>27</v>
      </c>
      <c r="B198" s="32"/>
      <c r="C198" s="26"/>
      <c r="D198" s="27" t="s">
        <v>246</v>
      </c>
      <c r="E198" s="29" t="s">
        <v>358</v>
      </c>
      <c r="F198" s="28" t="s">
        <v>359</v>
      </c>
      <c r="G198" s="45">
        <v>2.12</v>
      </c>
      <c r="H198" s="45">
        <v>0.24</v>
      </c>
      <c r="I198" s="45">
        <f t="shared" si="168"/>
        <v>0.19999999999999929</v>
      </c>
      <c r="J198" s="15"/>
      <c r="K198" s="15"/>
      <c r="L198" s="15"/>
      <c r="M198" s="15"/>
      <c r="N198" s="15">
        <f t="shared" si="169"/>
        <v>2.12</v>
      </c>
      <c r="O198" s="15">
        <f t="shared" si="170"/>
        <v>0.24</v>
      </c>
      <c r="P198" s="15"/>
      <c r="Q198" s="15"/>
      <c r="R198" s="15"/>
      <c r="S198" s="15"/>
      <c r="T198" s="45">
        <f t="shared" si="171"/>
        <v>2.6999999999999993</v>
      </c>
      <c r="U198" s="45">
        <f t="shared" si="172"/>
        <v>0.84799999999999698</v>
      </c>
      <c r="V198" s="45"/>
      <c r="W198" s="15"/>
      <c r="X198" s="15"/>
      <c r="Y198" s="46">
        <f t="shared" si="90"/>
        <v>0.50880000000000003</v>
      </c>
      <c r="Z198" s="46">
        <f t="shared" si="91"/>
        <v>0.10175999999999964</v>
      </c>
      <c r="AA198" s="46">
        <f t="shared" si="92"/>
        <v>0.50880000000000003</v>
      </c>
      <c r="AB198" s="46">
        <f t="shared" si="93"/>
        <v>0.84799999999999698</v>
      </c>
      <c r="AC198" s="46">
        <f t="shared" si="106"/>
        <v>0.50880000000000003</v>
      </c>
      <c r="AD198" s="15"/>
      <c r="AF198" s="3"/>
    </row>
    <row r="199" spans="1:32" x14ac:dyDescent="0.25">
      <c r="A199" s="25" t="s">
        <v>27</v>
      </c>
      <c r="B199" s="32"/>
      <c r="C199" s="26"/>
      <c r="D199" s="27" t="s">
        <v>247</v>
      </c>
      <c r="E199" s="29" t="s">
        <v>358</v>
      </c>
      <c r="F199" s="28" t="s">
        <v>359</v>
      </c>
      <c r="G199" s="45">
        <v>2.52</v>
      </c>
      <c r="H199" s="45">
        <v>0.24</v>
      </c>
      <c r="I199" s="45">
        <f t="shared" si="168"/>
        <v>0.19999999999999929</v>
      </c>
      <c r="J199" s="15"/>
      <c r="K199" s="15"/>
      <c r="L199" s="15"/>
      <c r="M199" s="15"/>
      <c r="N199" s="15">
        <f t="shared" si="169"/>
        <v>2.52</v>
      </c>
      <c r="O199" s="15">
        <f t="shared" si="170"/>
        <v>0.24</v>
      </c>
      <c r="P199" s="15"/>
      <c r="Q199" s="15"/>
      <c r="R199" s="15"/>
      <c r="S199" s="15"/>
      <c r="T199" s="45">
        <f t="shared" si="171"/>
        <v>2.6999999999999993</v>
      </c>
      <c r="U199" s="45">
        <f t="shared" si="172"/>
        <v>1.0079999999999965</v>
      </c>
      <c r="V199" s="45"/>
      <c r="W199" s="15"/>
      <c r="X199" s="15"/>
      <c r="Y199" s="46">
        <f t="shared" si="90"/>
        <v>0.6048</v>
      </c>
      <c r="Z199" s="46">
        <f t="shared" si="91"/>
        <v>0.12095999999999957</v>
      </c>
      <c r="AA199" s="46">
        <f t="shared" si="92"/>
        <v>0.6048</v>
      </c>
      <c r="AB199" s="46">
        <f t="shared" si="93"/>
        <v>1.0079999999999965</v>
      </c>
      <c r="AC199" s="46">
        <f t="shared" si="106"/>
        <v>0.6048</v>
      </c>
      <c r="AD199" s="15"/>
      <c r="AF199" s="3"/>
    </row>
    <row r="200" spans="1:32" x14ac:dyDescent="0.25">
      <c r="A200" s="25" t="s">
        <v>27</v>
      </c>
      <c r="B200" s="32"/>
      <c r="C200" s="26"/>
      <c r="D200" s="27" t="s">
        <v>248</v>
      </c>
      <c r="E200" s="29" t="s">
        <v>358</v>
      </c>
      <c r="F200" s="28" t="s">
        <v>359</v>
      </c>
      <c r="G200" s="45">
        <v>0.62</v>
      </c>
      <c r="H200" s="45">
        <v>0.24</v>
      </c>
      <c r="I200" s="45">
        <f t="shared" si="168"/>
        <v>0.19999999999999929</v>
      </c>
      <c r="J200" s="15"/>
      <c r="K200" s="15"/>
      <c r="L200" s="15"/>
      <c r="M200" s="15"/>
      <c r="N200" s="15">
        <f t="shared" si="169"/>
        <v>0.62</v>
      </c>
      <c r="O200" s="15">
        <f t="shared" si="170"/>
        <v>0.24</v>
      </c>
      <c r="P200" s="15"/>
      <c r="Q200" s="15"/>
      <c r="R200" s="15"/>
      <c r="S200" s="15"/>
      <c r="T200" s="45">
        <f t="shared" si="171"/>
        <v>2.6999999999999993</v>
      </c>
      <c r="U200" s="45">
        <f t="shared" si="172"/>
        <v>0.24799999999999911</v>
      </c>
      <c r="V200" s="45"/>
      <c r="W200" s="15"/>
      <c r="X200" s="15"/>
      <c r="Y200" s="46">
        <f t="shared" ref="Y200:Y221" si="173">IF(((G200*H200)+J200-K200+L200)=0,"",((G200*H200)+J200-K200+L200))</f>
        <v>0.14879999999999999</v>
      </c>
      <c r="Z200" s="46">
        <f t="shared" ref="Z200:Z221" si="174">IF(PRODUCT(Y200,I200)+M200=0,"",Y200*I200+M200)</f>
        <v>2.9759999999999891E-2</v>
      </c>
      <c r="AA200" s="46">
        <f t="shared" ref="AA200:AA221" si="175">IF((N200*O200+P200-Q200-R200+S200)=0,"",(N200*O200+P200-Q200-R200+S200))</f>
        <v>0.14879999999999999</v>
      </c>
      <c r="AB200" s="46">
        <f t="shared" ref="AB200:AB221" si="176">IF((U200+V200-W200+X200)=0,"",(U200+V200-W200+X200))</f>
        <v>0.24799999999999911</v>
      </c>
      <c r="AC200" s="46">
        <f t="shared" si="106"/>
        <v>0.14879999999999999</v>
      </c>
      <c r="AD200" s="15"/>
      <c r="AF200" s="3"/>
    </row>
    <row r="201" spans="1:32" x14ac:dyDescent="0.25">
      <c r="A201" s="25" t="s">
        <v>27</v>
      </c>
      <c r="B201" s="32"/>
      <c r="C201" s="26"/>
      <c r="D201" s="27" t="s">
        <v>249</v>
      </c>
      <c r="E201" s="29" t="s">
        <v>358</v>
      </c>
      <c r="F201" s="28" t="s">
        <v>359</v>
      </c>
      <c r="G201" s="45">
        <v>2.12</v>
      </c>
      <c r="H201" s="45">
        <v>0.24</v>
      </c>
      <c r="I201" s="45">
        <f t="shared" si="168"/>
        <v>0.19999999999999929</v>
      </c>
      <c r="J201" s="15"/>
      <c r="K201" s="15"/>
      <c r="L201" s="15"/>
      <c r="M201" s="15"/>
      <c r="N201" s="15">
        <f t="shared" si="169"/>
        <v>2.12</v>
      </c>
      <c r="O201" s="15">
        <f t="shared" si="170"/>
        <v>0.24</v>
      </c>
      <c r="P201" s="15"/>
      <c r="Q201" s="15"/>
      <c r="R201" s="15"/>
      <c r="S201" s="15"/>
      <c r="T201" s="45">
        <f t="shared" si="171"/>
        <v>2.6999999999999993</v>
      </c>
      <c r="U201" s="45">
        <f t="shared" si="172"/>
        <v>0.84799999999999698</v>
      </c>
      <c r="V201" s="45"/>
      <c r="W201" s="15"/>
      <c r="X201" s="15"/>
      <c r="Y201" s="46">
        <f t="shared" si="173"/>
        <v>0.50880000000000003</v>
      </c>
      <c r="Z201" s="46">
        <f t="shared" si="174"/>
        <v>0.10175999999999964</v>
      </c>
      <c r="AA201" s="46">
        <f t="shared" si="175"/>
        <v>0.50880000000000003</v>
      </c>
      <c r="AB201" s="46">
        <f t="shared" si="176"/>
        <v>0.84799999999999698</v>
      </c>
      <c r="AC201" s="46">
        <f t="shared" si="106"/>
        <v>0.50880000000000003</v>
      </c>
      <c r="AD201" s="15"/>
      <c r="AF201" s="3"/>
    </row>
    <row r="202" spans="1:32" x14ac:dyDescent="0.25">
      <c r="A202" s="25" t="s">
        <v>27</v>
      </c>
      <c r="B202" s="32"/>
      <c r="C202" s="26"/>
      <c r="D202" s="27" t="s">
        <v>250</v>
      </c>
      <c r="E202" s="29" t="s">
        <v>358</v>
      </c>
      <c r="F202" s="28" t="s">
        <v>359</v>
      </c>
      <c r="G202" s="45">
        <v>2.12</v>
      </c>
      <c r="H202" s="45">
        <v>0.24</v>
      </c>
      <c r="I202" s="45">
        <f t="shared" si="168"/>
        <v>0.19999999999999929</v>
      </c>
      <c r="J202" s="15"/>
      <c r="K202" s="15"/>
      <c r="L202" s="15"/>
      <c r="M202" s="15"/>
      <c r="N202" s="15">
        <f t="shared" si="169"/>
        <v>2.12</v>
      </c>
      <c r="O202" s="15">
        <f t="shared" si="170"/>
        <v>0.24</v>
      </c>
      <c r="P202" s="15"/>
      <c r="Q202" s="15"/>
      <c r="R202" s="15"/>
      <c r="S202" s="15"/>
      <c r="T202" s="45">
        <f t="shared" si="171"/>
        <v>2.6999999999999993</v>
      </c>
      <c r="U202" s="45">
        <f t="shared" si="172"/>
        <v>0.84799999999999698</v>
      </c>
      <c r="V202" s="45"/>
      <c r="W202" s="15"/>
      <c r="X202" s="15"/>
      <c r="Y202" s="46">
        <f t="shared" si="173"/>
        <v>0.50880000000000003</v>
      </c>
      <c r="Z202" s="46">
        <f t="shared" si="174"/>
        <v>0.10175999999999964</v>
      </c>
      <c r="AA202" s="46">
        <f t="shared" si="175"/>
        <v>0.50880000000000003</v>
      </c>
      <c r="AB202" s="46">
        <f t="shared" si="176"/>
        <v>0.84799999999999698</v>
      </c>
      <c r="AC202" s="46">
        <f t="shared" si="106"/>
        <v>0.50880000000000003</v>
      </c>
      <c r="AD202" s="15"/>
      <c r="AF202" s="3"/>
    </row>
    <row r="203" spans="1:32" x14ac:dyDescent="0.25">
      <c r="A203" s="25" t="s">
        <v>27</v>
      </c>
      <c r="B203" s="32"/>
      <c r="C203" s="26"/>
      <c r="D203" s="27" t="s">
        <v>251</v>
      </c>
      <c r="E203" s="29" t="s">
        <v>358</v>
      </c>
      <c r="F203" s="28" t="s">
        <v>359</v>
      </c>
      <c r="G203" s="45">
        <v>2.12</v>
      </c>
      <c r="H203" s="45">
        <v>0.24</v>
      </c>
      <c r="I203" s="45">
        <f t="shared" si="168"/>
        <v>0.19999999999999929</v>
      </c>
      <c r="J203" s="15"/>
      <c r="K203" s="15"/>
      <c r="L203" s="15"/>
      <c r="M203" s="15"/>
      <c r="N203" s="15">
        <f t="shared" si="169"/>
        <v>2.12</v>
      </c>
      <c r="O203" s="15">
        <f t="shared" si="170"/>
        <v>0.24</v>
      </c>
      <c r="P203" s="15"/>
      <c r="Q203" s="15"/>
      <c r="R203" s="15"/>
      <c r="S203" s="15"/>
      <c r="T203" s="45">
        <f t="shared" si="171"/>
        <v>2.6999999999999993</v>
      </c>
      <c r="U203" s="45">
        <f t="shared" si="172"/>
        <v>0.84799999999999698</v>
      </c>
      <c r="V203" s="45"/>
      <c r="W203" s="15"/>
      <c r="X203" s="15"/>
      <c r="Y203" s="46">
        <f t="shared" si="173"/>
        <v>0.50880000000000003</v>
      </c>
      <c r="Z203" s="46">
        <f t="shared" si="174"/>
        <v>0.10175999999999964</v>
      </c>
      <c r="AA203" s="46">
        <f t="shared" si="175"/>
        <v>0.50880000000000003</v>
      </c>
      <c r="AB203" s="46">
        <f t="shared" si="176"/>
        <v>0.84799999999999698</v>
      </c>
      <c r="AC203" s="46">
        <f t="shared" si="106"/>
        <v>0.50880000000000003</v>
      </c>
      <c r="AD203" s="15"/>
      <c r="AF203" s="3"/>
    </row>
    <row r="204" spans="1:32" x14ac:dyDescent="0.25">
      <c r="A204" s="25" t="s">
        <v>27</v>
      </c>
      <c r="B204" s="32"/>
      <c r="C204" s="26"/>
      <c r="D204" s="27" t="s">
        <v>252</v>
      </c>
      <c r="E204" s="29" t="s">
        <v>358</v>
      </c>
      <c r="F204" s="28" t="s">
        <v>359</v>
      </c>
      <c r="G204" s="45">
        <v>2.12</v>
      </c>
      <c r="H204" s="45">
        <v>0.24</v>
      </c>
      <c r="I204" s="45">
        <f t="shared" si="168"/>
        <v>0.19999999999999929</v>
      </c>
      <c r="J204" s="15"/>
      <c r="K204" s="15"/>
      <c r="L204" s="15"/>
      <c r="M204" s="15"/>
      <c r="N204" s="15">
        <f t="shared" si="169"/>
        <v>2.12</v>
      </c>
      <c r="O204" s="15">
        <f t="shared" si="170"/>
        <v>0.24</v>
      </c>
      <c r="P204" s="15"/>
      <c r="Q204" s="15"/>
      <c r="R204" s="15"/>
      <c r="S204" s="15"/>
      <c r="T204" s="45">
        <f t="shared" si="171"/>
        <v>2.6999999999999993</v>
      </c>
      <c r="U204" s="45">
        <f t="shared" si="172"/>
        <v>0.84799999999999698</v>
      </c>
      <c r="V204" s="45"/>
      <c r="W204" s="15"/>
      <c r="X204" s="15"/>
      <c r="Y204" s="46">
        <f t="shared" si="173"/>
        <v>0.50880000000000003</v>
      </c>
      <c r="Z204" s="46">
        <f t="shared" si="174"/>
        <v>0.10175999999999964</v>
      </c>
      <c r="AA204" s="46">
        <f t="shared" si="175"/>
        <v>0.50880000000000003</v>
      </c>
      <c r="AB204" s="46">
        <f t="shared" si="176"/>
        <v>0.84799999999999698</v>
      </c>
      <c r="AC204" s="46">
        <f t="shared" si="106"/>
        <v>0.50880000000000003</v>
      </c>
      <c r="AD204" s="15"/>
      <c r="AF204" s="3"/>
    </row>
    <row r="205" spans="1:32" x14ac:dyDescent="0.25">
      <c r="A205" s="25" t="s">
        <v>27</v>
      </c>
      <c r="B205" s="32"/>
      <c r="C205" s="26"/>
      <c r="D205" s="27" t="s">
        <v>253</v>
      </c>
      <c r="E205" s="29" t="s">
        <v>358</v>
      </c>
      <c r="F205" s="28" t="s">
        <v>359</v>
      </c>
      <c r="G205" s="45">
        <v>2.12</v>
      </c>
      <c r="H205" s="45">
        <v>0.24</v>
      </c>
      <c r="I205" s="45">
        <f t="shared" si="168"/>
        <v>0.19999999999999929</v>
      </c>
      <c r="J205" s="15"/>
      <c r="K205" s="15"/>
      <c r="L205" s="15"/>
      <c r="M205" s="15"/>
      <c r="N205" s="15">
        <f t="shared" ref="N205:N220" si="177">G205</f>
        <v>2.12</v>
      </c>
      <c r="O205" s="15">
        <f t="shared" ref="O205:O220" si="178">H205</f>
        <v>0.24</v>
      </c>
      <c r="P205" s="15"/>
      <c r="Q205" s="15"/>
      <c r="R205" s="15"/>
      <c r="S205" s="15"/>
      <c r="T205" s="45">
        <f t="shared" si="171"/>
        <v>2.6999999999999993</v>
      </c>
      <c r="U205" s="45">
        <f t="shared" ref="U205:U220" si="179">G205*2*I205</f>
        <v>0.84799999999999698</v>
      </c>
      <c r="V205" s="45"/>
      <c r="W205" s="15"/>
      <c r="X205" s="15"/>
      <c r="Y205" s="46">
        <f t="shared" si="173"/>
        <v>0.50880000000000003</v>
      </c>
      <c r="Z205" s="46">
        <f t="shared" si="174"/>
        <v>0.10175999999999964</v>
      </c>
      <c r="AA205" s="46">
        <f t="shared" si="175"/>
        <v>0.50880000000000003</v>
      </c>
      <c r="AB205" s="46">
        <f t="shared" si="176"/>
        <v>0.84799999999999698</v>
      </c>
      <c r="AC205" s="46">
        <f t="shared" ref="AC205:AC221" si="180">IF((N205*O205+P205-Q205-R205+S205)=0,"",(N205*O205+P205-Q205-R205+S205))</f>
        <v>0.50880000000000003</v>
      </c>
      <c r="AD205" s="15"/>
    </row>
    <row r="206" spans="1:32" x14ac:dyDescent="0.25">
      <c r="A206" s="25" t="s">
        <v>27</v>
      </c>
      <c r="B206" s="32"/>
      <c r="C206" s="26"/>
      <c r="D206" s="27" t="s">
        <v>254</v>
      </c>
      <c r="E206" s="29" t="s">
        <v>358</v>
      </c>
      <c r="F206" s="28" t="s">
        <v>359</v>
      </c>
      <c r="G206" s="45">
        <v>2.12</v>
      </c>
      <c r="H206" s="45">
        <v>0.24</v>
      </c>
      <c r="I206" s="45">
        <f t="shared" si="168"/>
        <v>0.19999999999999929</v>
      </c>
      <c r="J206" s="15"/>
      <c r="K206" s="15"/>
      <c r="L206" s="15"/>
      <c r="M206" s="15"/>
      <c r="N206" s="15">
        <f t="shared" si="177"/>
        <v>2.12</v>
      </c>
      <c r="O206" s="15">
        <f t="shared" si="178"/>
        <v>0.24</v>
      </c>
      <c r="P206" s="15"/>
      <c r="Q206" s="15"/>
      <c r="R206" s="15"/>
      <c r="S206" s="15"/>
      <c r="T206" s="45">
        <f t="shared" si="171"/>
        <v>2.6999999999999993</v>
      </c>
      <c r="U206" s="45">
        <f t="shared" si="179"/>
        <v>0.84799999999999698</v>
      </c>
      <c r="V206" s="45"/>
      <c r="W206" s="15"/>
      <c r="X206" s="15"/>
      <c r="Y206" s="46">
        <f t="shared" si="173"/>
        <v>0.50880000000000003</v>
      </c>
      <c r="Z206" s="46">
        <f t="shared" si="174"/>
        <v>0.10175999999999964</v>
      </c>
      <c r="AA206" s="46">
        <f t="shared" si="175"/>
        <v>0.50880000000000003</v>
      </c>
      <c r="AB206" s="46">
        <f t="shared" si="176"/>
        <v>0.84799999999999698</v>
      </c>
      <c r="AC206" s="46">
        <f t="shared" si="180"/>
        <v>0.50880000000000003</v>
      </c>
      <c r="AD206" s="15"/>
    </row>
    <row r="207" spans="1:32" x14ac:dyDescent="0.25">
      <c r="A207" s="25" t="s">
        <v>27</v>
      </c>
      <c r="B207" s="32"/>
      <c r="C207" s="26"/>
      <c r="D207" s="27" t="s">
        <v>255</v>
      </c>
      <c r="E207" s="29" t="s">
        <v>358</v>
      </c>
      <c r="F207" s="28" t="s">
        <v>359</v>
      </c>
      <c r="G207" s="45">
        <v>2.12</v>
      </c>
      <c r="H207" s="45">
        <v>0.24</v>
      </c>
      <c r="I207" s="45">
        <f t="shared" si="168"/>
        <v>0.19999999999999929</v>
      </c>
      <c r="J207" s="15"/>
      <c r="K207" s="15"/>
      <c r="L207" s="15"/>
      <c r="M207" s="15"/>
      <c r="N207" s="15">
        <f t="shared" si="177"/>
        <v>2.12</v>
      </c>
      <c r="O207" s="15">
        <f t="shared" si="178"/>
        <v>0.24</v>
      </c>
      <c r="P207" s="15"/>
      <c r="Q207" s="15"/>
      <c r="R207" s="15"/>
      <c r="S207" s="15"/>
      <c r="T207" s="45">
        <f t="shared" si="171"/>
        <v>2.6999999999999993</v>
      </c>
      <c r="U207" s="45">
        <f t="shared" si="179"/>
        <v>0.84799999999999698</v>
      </c>
      <c r="V207" s="45"/>
      <c r="W207" s="15"/>
      <c r="X207" s="15"/>
      <c r="Y207" s="46">
        <f t="shared" si="173"/>
        <v>0.50880000000000003</v>
      </c>
      <c r="Z207" s="46">
        <f t="shared" si="174"/>
        <v>0.10175999999999964</v>
      </c>
      <c r="AA207" s="46">
        <f t="shared" si="175"/>
        <v>0.50880000000000003</v>
      </c>
      <c r="AB207" s="46">
        <f t="shared" si="176"/>
        <v>0.84799999999999698</v>
      </c>
      <c r="AC207" s="46">
        <f t="shared" si="180"/>
        <v>0.50880000000000003</v>
      </c>
      <c r="AD207" s="15"/>
    </row>
    <row r="208" spans="1:32" x14ac:dyDescent="0.25">
      <c r="A208" s="25" t="s">
        <v>27</v>
      </c>
      <c r="B208" s="32"/>
      <c r="C208" s="26"/>
      <c r="D208" s="27" t="s">
        <v>256</v>
      </c>
      <c r="E208" s="29" t="s">
        <v>358</v>
      </c>
      <c r="F208" s="28" t="s">
        <v>359</v>
      </c>
      <c r="G208" s="45">
        <v>2.52</v>
      </c>
      <c r="H208" s="45">
        <v>0.24</v>
      </c>
      <c r="I208" s="45">
        <f t="shared" si="168"/>
        <v>0.19999999999999929</v>
      </c>
      <c r="J208" s="15"/>
      <c r="K208" s="15"/>
      <c r="L208" s="15"/>
      <c r="M208" s="15"/>
      <c r="N208" s="15">
        <f t="shared" si="177"/>
        <v>2.52</v>
      </c>
      <c r="O208" s="15">
        <f t="shared" si="178"/>
        <v>0.24</v>
      </c>
      <c r="P208" s="15"/>
      <c r="Q208" s="15"/>
      <c r="R208" s="15"/>
      <c r="S208" s="15"/>
      <c r="T208" s="45">
        <f t="shared" si="171"/>
        <v>2.6999999999999993</v>
      </c>
      <c r="U208" s="45">
        <f t="shared" si="179"/>
        <v>1.0079999999999965</v>
      </c>
      <c r="V208" s="45"/>
      <c r="W208" s="15"/>
      <c r="X208" s="15"/>
      <c r="Y208" s="46">
        <f t="shared" si="173"/>
        <v>0.6048</v>
      </c>
      <c r="Z208" s="46">
        <f t="shared" si="174"/>
        <v>0.12095999999999957</v>
      </c>
      <c r="AA208" s="46">
        <f t="shared" si="175"/>
        <v>0.6048</v>
      </c>
      <c r="AB208" s="46">
        <f t="shared" si="176"/>
        <v>1.0079999999999965</v>
      </c>
      <c r="AC208" s="46">
        <f t="shared" si="180"/>
        <v>0.6048</v>
      </c>
      <c r="AD208" s="15"/>
    </row>
    <row r="209" spans="1:30" x14ac:dyDescent="0.25">
      <c r="A209" s="25" t="s">
        <v>27</v>
      </c>
      <c r="B209" s="32"/>
      <c r="C209" s="26"/>
      <c r="D209" s="27" t="s">
        <v>257</v>
      </c>
      <c r="E209" s="29" t="s">
        <v>358</v>
      </c>
      <c r="F209" s="28" t="s">
        <v>359</v>
      </c>
      <c r="G209" s="45">
        <v>0.62</v>
      </c>
      <c r="H209" s="45">
        <v>0.24</v>
      </c>
      <c r="I209" s="45">
        <f t="shared" si="168"/>
        <v>0.19999999999999929</v>
      </c>
      <c r="J209" s="15"/>
      <c r="K209" s="15"/>
      <c r="L209" s="15"/>
      <c r="M209" s="15"/>
      <c r="N209" s="15">
        <f t="shared" si="177"/>
        <v>0.62</v>
      </c>
      <c r="O209" s="15">
        <f t="shared" si="178"/>
        <v>0.24</v>
      </c>
      <c r="P209" s="15"/>
      <c r="Q209" s="15"/>
      <c r="R209" s="15"/>
      <c r="S209" s="15"/>
      <c r="T209" s="45">
        <f t="shared" si="171"/>
        <v>2.6999999999999993</v>
      </c>
      <c r="U209" s="45">
        <f t="shared" si="179"/>
        <v>0.24799999999999911</v>
      </c>
      <c r="V209" s="45"/>
      <c r="W209" s="15"/>
      <c r="X209" s="15"/>
      <c r="Y209" s="46">
        <f t="shared" si="173"/>
        <v>0.14879999999999999</v>
      </c>
      <c r="Z209" s="46">
        <f t="shared" si="174"/>
        <v>2.9759999999999891E-2</v>
      </c>
      <c r="AA209" s="46">
        <f t="shared" si="175"/>
        <v>0.14879999999999999</v>
      </c>
      <c r="AB209" s="46">
        <f t="shared" si="176"/>
        <v>0.24799999999999911</v>
      </c>
      <c r="AC209" s="46">
        <f t="shared" si="180"/>
        <v>0.14879999999999999</v>
      </c>
      <c r="AD209" s="15"/>
    </row>
    <row r="210" spans="1:30" x14ac:dyDescent="0.25">
      <c r="A210" s="25" t="s">
        <v>27</v>
      </c>
      <c r="B210" s="32"/>
      <c r="C210" s="26"/>
      <c r="D210" s="27" t="s">
        <v>258</v>
      </c>
      <c r="E210" s="29" t="s">
        <v>358</v>
      </c>
      <c r="F210" s="28" t="s">
        <v>359</v>
      </c>
      <c r="G210" s="45">
        <v>2.12</v>
      </c>
      <c r="H210" s="45">
        <v>0.24</v>
      </c>
      <c r="I210" s="45">
        <f t="shared" si="168"/>
        <v>0.19999999999999929</v>
      </c>
      <c r="J210" s="15"/>
      <c r="K210" s="15"/>
      <c r="L210" s="15"/>
      <c r="M210" s="15"/>
      <c r="N210" s="15">
        <f t="shared" si="177"/>
        <v>2.12</v>
      </c>
      <c r="O210" s="15">
        <f t="shared" si="178"/>
        <v>0.24</v>
      </c>
      <c r="P210" s="15"/>
      <c r="Q210" s="15"/>
      <c r="R210" s="15"/>
      <c r="S210" s="15"/>
      <c r="T210" s="45">
        <f t="shared" si="171"/>
        <v>2.6999999999999993</v>
      </c>
      <c r="U210" s="45">
        <f t="shared" si="179"/>
        <v>0.84799999999999698</v>
      </c>
      <c r="V210" s="45"/>
      <c r="W210" s="15"/>
      <c r="X210" s="15"/>
      <c r="Y210" s="46">
        <f t="shared" si="173"/>
        <v>0.50880000000000003</v>
      </c>
      <c r="Z210" s="46">
        <f t="shared" si="174"/>
        <v>0.10175999999999964</v>
      </c>
      <c r="AA210" s="46">
        <f t="shared" si="175"/>
        <v>0.50880000000000003</v>
      </c>
      <c r="AB210" s="46">
        <f t="shared" si="176"/>
        <v>0.84799999999999698</v>
      </c>
      <c r="AC210" s="46">
        <f t="shared" si="180"/>
        <v>0.50880000000000003</v>
      </c>
      <c r="AD210" s="15"/>
    </row>
    <row r="211" spans="1:30" x14ac:dyDescent="0.25">
      <c r="A211" s="25" t="s">
        <v>27</v>
      </c>
      <c r="B211" s="32"/>
      <c r="C211" s="26"/>
      <c r="D211" s="27" t="s">
        <v>259</v>
      </c>
      <c r="E211" s="29" t="s">
        <v>358</v>
      </c>
      <c r="F211" s="28" t="s">
        <v>359</v>
      </c>
      <c r="G211" s="45">
        <v>2.12</v>
      </c>
      <c r="H211" s="45">
        <v>0.24</v>
      </c>
      <c r="I211" s="45">
        <f t="shared" si="168"/>
        <v>0.19999999999999929</v>
      </c>
      <c r="J211" s="15"/>
      <c r="K211" s="15"/>
      <c r="L211" s="15"/>
      <c r="M211" s="15"/>
      <c r="N211" s="15">
        <f t="shared" si="177"/>
        <v>2.12</v>
      </c>
      <c r="O211" s="15">
        <f t="shared" si="178"/>
        <v>0.24</v>
      </c>
      <c r="P211" s="15"/>
      <c r="Q211" s="15"/>
      <c r="R211" s="15"/>
      <c r="S211" s="15"/>
      <c r="T211" s="45">
        <f t="shared" si="171"/>
        <v>2.6999999999999993</v>
      </c>
      <c r="U211" s="45">
        <f t="shared" si="179"/>
        <v>0.84799999999999698</v>
      </c>
      <c r="V211" s="45"/>
      <c r="W211" s="15"/>
      <c r="X211" s="15"/>
      <c r="Y211" s="46">
        <f t="shared" si="173"/>
        <v>0.50880000000000003</v>
      </c>
      <c r="Z211" s="46">
        <f t="shared" si="174"/>
        <v>0.10175999999999964</v>
      </c>
      <c r="AA211" s="46">
        <f t="shared" si="175"/>
        <v>0.50880000000000003</v>
      </c>
      <c r="AB211" s="46">
        <f t="shared" si="176"/>
        <v>0.84799999999999698</v>
      </c>
      <c r="AC211" s="46">
        <f t="shared" si="180"/>
        <v>0.50880000000000003</v>
      </c>
      <c r="AD211" s="15"/>
    </row>
    <row r="212" spans="1:30" x14ac:dyDescent="0.25">
      <c r="A212" s="25" t="s">
        <v>27</v>
      </c>
      <c r="B212" s="32"/>
      <c r="C212" s="26"/>
      <c r="D212" s="27" t="s">
        <v>260</v>
      </c>
      <c r="E212" s="29" t="s">
        <v>358</v>
      </c>
      <c r="F212" s="28" t="s">
        <v>359</v>
      </c>
      <c r="G212" s="45">
        <v>0.6</v>
      </c>
      <c r="H212" s="45">
        <v>0.24</v>
      </c>
      <c r="I212" s="45">
        <f t="shared" si="168"/>
        <v>0.19999999999999929</v>
      </c>
      <c r="J212" s="15"/>
      <c r="K212" s="15"/>
      <c r="L212" s="15"/>
      <c r="M212" s="15"/>
      <c r="N212" s="15">
        <f t="shared" si="177"/>
        <v>0.6</v>
      </c>
      <c r="O212" s="15">
        <f t="shared" si="178"/>
        <v>0.24</v>
      </c>
      <c r="P212" s="15"/>
      <c r="Q212" s="15"/>
      <c r="R212" s="15"/>
      <c r="S212" s="15"/>
      <c r="T212" s="45">
        <f t="shared" si="171"/>
        <v>2.6999999999999993</v>
      </c>
      <c r="U212" s="45">
        <f t="shared" si="179"/>
        <v>0.23999999999999913</v>
      </c>
      <c r="V212" s="45"/>
      <c r="W212" s="15"/>
      <c r="X212" s="15"/>
      <c r="Y212" s="46">
        <f t="shared" si="173"/>
        <v>0.14399999999999999</v>
      </c>
      <c r="Z212" s="46">
        <f t="shared" si="174"/>
        <v>2.8799999999999895E-2</v>
      </c>
      <c r="AA212" s="46">
        <f t="shared" si="175"/>
        <v>0.14399999999999999</v>
      </c>
      <c r="AB212" s="46">
        <f t="shared" si="176"/>
        <v>0.23999999999999913</v>
      </c>
      <c r="AC212" s="46">
        <f t="shared" si="180"/>
        <v>0.14399999999999999</v>
      </c>
      <c r="AD212" s="15"/>
    </row>
    <row r="213" spans="1:30" x14ac:dyDescent="0.25">
      <c r="A213" s="25" t="s">
        <v>27</v>
      </c>
      <c r="B213" s="32"/>
      <c r="C213" s="26"/>
      <c r="D213" s="27" t="s">
        <v>261</v>
      </c>
      <c r="E213" s="29" t="s">
        <v>358</v>
      </c>
      <c r="F213" s="28" t="s">
        <v>359</v>
      </c>
      <c r="G213" s="45">
        <v>2.02</v>
      </c>
      <c r="H213" s="45">
        <v>0.24</v>
      </c>
      <c r="I213" s="45">
        <f t="shared" si="168"/>
        <v>0.19999999999999929</v>
      </c>
      <c r="J213" s="15"/>
      <c r="K213" s="15"/>
      <c r="L213" s="15"/>
      <c r="M213" s="15"/>
      <c r="N213" s="15">
        <f t="shared" si="177"/>
        <v>2.02</v>
      </c>
      <c r="O213" s="15">
        <f t="shared" si="178"/>
        <v>0.24</v>
      </c>
      <c r="P213" s="15"/>
      <c r="Q213" s="15"/>
      <c r="R213" s="15"/>
      <c r="S213" s="15"/>
      <c r="T213" s="45">
        <f t="shared" si="171"/>
        <v>2.6999999999999993</v>
      </c>
      <c r="U213" s="45">
        <f t="shared" si="179"/>
        <v>0.80799999999999716</v>
      </c>
      <c r="V213" s="45"/>
      <c r="W213" s="15"/>
      <c r="X213" s="15"/>
      <c r="Y213" s="46">
        <f t="shared" si="173"/>
        <v>0.48480000000000001</v>
      </c>
      <c r="Z213" s="46">
        <f t="shared" si="174"/>
        <v>9.6959999999999658E-2</v>
      </c>
      <c r="AA213" s="46">
        <f t="shared" si="175"/>
        <v>0.48480000000000001</v>
      </c>
      <c r="AB213" s="46">
        <f t="shared" si="176"/>
        <v>0.80799999999999716</v>
      </c>
      <c r="AC213" s="46">
        <f t="shared" si="180"/>
        <v>0.48480000000000001</v>
      </c>
      <c r="AD213" s="15"/>
    </row>
    <row r="214" spans="1:30" x14ac:dyDescent="0.25">
      <c r="A214" s="25" t="s">
        <v>27</v>
      </c>
      <c r="B214" s="32"/>
      <c r="C214" s="26"/>
      <c r="D214" s="27" t="s">
        <v>262</v>
      </c>
      <c r="E214" s="29" t="s">
        <v>358</v>
      </c>
      <c r="F214" s="28" t="s">
        <v>359</v>
      </c>
      <c r="G214" s="45">
        <v>2.7</v>
      </c>
      <c r="H214" s="45">
        <v>0.24</v>
      </c>
      <c r="I214" s="45">
        <f t="shared" si="168"/>
        <v>0.19999999999999929</v>
      </c>
      <c r="J214" s="15"/>
      <c r="K214" s="15"/>
      <c r="L214" s="15"/>
      <c r="M214" s="15"/>
      <c r="N214" s="15">
        <f t="shared" si="177"/>
        <v>2.7</v>
      </c>
      <c r="O214" s="15">
        <f t="shared" si="178"/>
        <v>0.24</v>
      </c>
      <c r="P214" s="15"/>
      <c r="Q214" s="15"/>
      <c r="R214" s="15"/>
      <c r="S214" s="15"/>
      <c r="T214" s="45">
        <f t="shared" si="171"/>
        <v>2.6999999999999993</v>
      </c>
      <c r="U214" s="45">
        <f t="shared" si="179"/>
        <v>1.0799999999999963</v>
      </c>
      <c r="V214" s="45"/>
      <c r="W214" s="15"/>
      <c r="X214" s="15"/>
      <c r="Y214" s="46">
        <f t="shared" si="173"/>
        <v>0.64800000000000002</v>
      </c>
      <c r="Z214" s="46">
        <f t="shared" si="174"/>
        <v>0.12959999999999955</v>
      </c>
      <c r="AA214" s="46">
        <f t="shared" si="175"/>
        <v>0.64800000000000002</v>
      </c>
      <c r="AB214" s="46">
        <f t="shared" si="176"/>
        <v>1.0799999999999963</v>
      </c>
      <c r="AC214" s="46">
        <f t="shared" si="180"/>
        <v>0.64800000000000002</v>
      </c>
      <c r="AD214" s="15"/>
    </row>
    <row r="215" spans="1:30" x14ac:dyDescent="0.25">
      <c r="A215" s="25" t="s">
        <v>27</v>
      </c>
      <c r="B215" s="32"/>
      <c r="C215" s="26"/>
      <c r="D215" s="27" t="s">
        <v>263</v>
      </c>
      <c r="E215" s="29" t="s">
        <v>358</v>
      </c>
      <c r="F215" s="28" t="s">
        <v>359</v>
      </c>
      <c r="G215" s="45">
        <v>0.62</v>
      </c>
      <c r="H215" s="45">
        <v>0.24</v>
      </c>
      <c r="I215" s="45">
        <f t="shared" si="168"/>
        <v>0.19999999999999929</v>
      </c>
      <c r="J215" s="15"/>
      <c r="K215" s="15"/>
      <c r="L215" s="15"/>
      <c r="M215" s="15"/>
      <c r="N215" s="15">
        <f t="shared" si="177"/>
        <v>0.62</v>
      </c>
      <c r="O215" s="15">
        <f t="shared" si="178"/>
        <v>0.24</v>
      </c>
      <c r="P215" s="15"/>
      <c r="Q215" s="15"/>
      <c r="R215" s="15"/>
      <c r="S215" s="15"/>
      <c r="T215" s="45">
        <f t="shared" si="171"/>
        <v>2.6999999999999993</v>
      </c>
      <c r="U215" s="45">
        <f t="shared" si="179"/>
        <v>0.24799999999999911</v>
      </c>
      <c r="V215" s="45"/>
      <c r="W215" s="15"/>
      <c r="X215" s="15"/>
      <c r="Y215" s="46">
        <f t="shared" si="173"/>
        <v>0.14879999999999999</v>
      </c>
      <c r="Z215" s="46">
        <f t="shared" si="174"/>
        <v>2.9759999999999891E-2</v>
      </c>
      <c r="AA215" s="46">
        <f t="shared" si="175"/>
        <v>0.14879999999999999</v>
      </c>
      <c r="AB215" s="46">
        <f t="shared" si="176"/>
        <v>0.24799999999999911</v>
      </c>
      <c r="AC215" s="46">
        <f t="shared" si="180"/>
        <v>0.14879999999999999</v>
      </c>
      <c r="AD215" s="15"/>
    </row>
    <row r="216" spans="1:30" x14ac:dyDescent="0.25">
      <c r="A216" s="25" t="s">
        <v>27</v>
      </c>
      <c r="B216" s="32"/>
      <c r="C216" s="26"/>
      <c r="D216" s="27" t="s">
        <v>264</v>
      </c>
      <c r="E216" s="29" t="s">
        <v>358</v>
      </c>
      <c r="F216" s="28" t="s">
        <v>359</v>
      </c>
      <c r="G216" s="45">
        <v>2.12</v>
      </c>
      <c r="H216" s="45">
        <v>0.24</v>
      </c>
      <c r="I216" s="45">
        <f t="shared" si="168"/>
        <v>0.19999999999999929</v>
      </c>
      <c r="J216" s="15"/>
      <c r="K216" s="15"/>
      <c r="L216" s="15"/>
      <c r="M216" s="15"/>
      <c r="N216" s="15">
        <f t="shared" si="177"/>
        <v>2.12</v>
      </c>
      <c r="O216" s="15">
        <f t="shared" si="178"/>
        <v>0.24</v>
      </c>
      <c r="P216" s="15"/>
      <c r="Q216" s="15"/>
      <c r="R216" s="15"/>
      <c r="S216" s="15"/>
      <c r="T216" s="45">
        <f t="shared" si="171"/>
        <v>2.6999999999999993</v>
      </c>
      <c r="U216" s="45">
        <f t="shared" si="179"/>
        <v>0.84799999999999698</v>
      </c>
      <c r="V216" s="45"/>
      <c r="W216" s="15"/>
      <c r="X216" s="15"/>
      <c r="Y216" s="46">
        <f t="shared" si="173"/>
        <v>0.50880000000000003</v>
      </c>
      <c r="Z216" s="46">
        <f t="shared" si="174"/>
        <v>0.10175999999999964</v>
      </c>
      <c r="AA216" s="46">
        <f t="shared" si="175"/>
        <v>0.50880000000000003</v>
      </c>
      <c r="AB216" s="46">
        <f t="shared" si="176"/>
        <v>0.84799999999999698</v>
      </c>
      <c r="AC216" s="46">
        <f t="shared" si="180"/>
        <v>0.50880000000000003</v>
      </c>
      <c r="AD216" s="15"/>
    </row>
    <row r="217" spans="1:30" x14ac:dyDescent="0.25">
      <c r="A217" s="25" t="s">
        <v>27</v>
      </c>
      <c r="B217" s="32"/>
      <c r="C217" s="26"/>
      <c r="D217" s="27" t="s">
        <v>265</v>
      </c>
      <c r="E217" s="29" t="s">
        <v>358</v>
      </c>
      <c r="F217" s="28" t="s">
        <v>359</v>
      </c>
      <c r="G217" s="45">
        <v>2.12</v>
      </c>
      <c r="H217" s="45">
        <v>0.24</v>
      </c>
      <c r="I217" s="45">
        <f t="shared" si="168"/>
        <v>0.19999999999999929</v>
      </c>
      <c r="J217" s="15"/>
      <c r="K217" s="15"/>
      <c r="L217" s="15"/>
      <c r="M217" s="15"/>
      <c r="N217" s="15">
        <f t="shared" si="177"/>
        <v>2.12</v>
      </c>
      <c r="O217" s="15">
        <f t="shared" si="178"/>
        <v>0.24</v>
      </c>
      <c r="P217" s="15"/>
      <c r="Q217" s="15"/>
      <c r="R217" s="15"/>
      <c r="S217" s="15"/>
      <c r="T217" s="45">
        <f t="shared" si="171"/>
        <v>2.6999999999999993</v>
      </c>
      <c r="U217" s="45">
        <f t="shared" si="179"/>
        <v>0.84799999999999698</v>
      </c>
      <c r="V217" s="45"/>
      <c r="W217" s="15"/>
      <c r="X217" s="15"/>
      <c r="Y217" s="46">
        <f t="shared" si="173"/>
        <v>0.50880000000000003</v>
      </c>
      <c r="Z217" s="46">
        <f t="shared" si="174"/>
        <v>0.10175999999999964</v>
      </c>
      <c r="AA217" s="46">
        <f t="shared" si="175"/>
        <v>0.50880000000000003</v>
      </c>
      <c r="AB217" s="46">
        <f t="shared" si="176"/>
        <v>0.84799999999999698</v>
      </c>
      <c r="AC217" s="46">
        <f t="shared" si="180"/>
        <v>0.50880000000000003</v>
      </c>
      <c r="AD217" s="15"/>
    </row>
    <row r="218" spans="1:30" x14ac:dyDescent="0.25">
      <c r="A218" s="25" t="s">
        <v>27</v>
      </c>
      <c r="B218" s="32"/>
      <c r="C218" s="26"/>
      <c r="D218" s="27" t="s">
        <v>266</v>
      </c>
      <c r="E218" s="29" t="s">
        <v>358</v>
      </c>
      <c r="F218" s="28" t="s">
        <v>359</v>
      </c>
      <c r="G218" s="45">
        <v>2.12</v>
      </c>
      <c r="H218" s="45">
        <v>0.24</v>
      </c>
      <c r="I218" s="45">
        <f t="shared" si="168"/>
        <v>0.19999999999999929</v>
      </c>
      <c r="J218" s="15"/>
      <c r="K218" s="15"/>
      <c r="L218" s="15"/>
      <c r="M218" s="15"/>
      <c r="N218" s="15">
        <f t="shared" si="177"/>
        <v>2.12</v>
      </c>
      <c r="O218" s="15">
        <f t="shared" si="178"/>
        <v>0.24</v>
      </c>
      <c r="P218" s="15"/>
      <c r="Q218" s="15"/>
      <c r="R218" s="15"/>
      <c r="S218" s="15"/>
      <c r="T218" s="45">
        <f t="shared" si="171"/>
        <v>2.6999999999999993</v>
      </c>
      <c r="U218" s="45">
        <f t="shared" si="179"/>
        <v>0.84799999999999698</v>
      </c>
      <c r="V218" s="45"/>
      <c r="W218" s="15"/>
      <c r="X218" s="15"/>
      <c r="Y218" s="46">
        <f t="shared" si="173"/>
        <v>0.50880000000000003</v>
      </c>
      <c r="Z218" s="46">
        <f t="shared" si="174"/>
        <v>0.10175999999999964</v>
      </c>
      <c r="AA218" s="46">
        <f t="shared" si="175"/>
        <v>0.50880000000000003</v>
      </c>
      <c r="AB218" s="46">
        <f t="shared" si="176"/>
        <v>0.84799999999999698</v>
      </c>
      <c r="AC218" s="46">
        <f t="shared" si="180"/>
        <v>0.50880000000000003</v>
      </c>
      <c r="AD218" s="15"/>
    </row>
    <row r="219" spans="1:30" x14ac:dyDescent="0.25">
      <c r="A219" s="25" t="s">
        <v>27</v>
      </c>
      <c r="B219" s="32"/>
      <c r="C219" s="26"/>
      <c r="D219" s="27" t="s">
        <v>267</v>
      </c>
      <c r="E219" s="29" t="s">
        <v>358</v>
      </c>
      <c r="F219" s="28" t="s">
        <v>359</v>
      </c>
      <c r="G219" s="45">
        <v>2.12</v>
      </c>
      <c r="H219" s="45">
        <v>0.24</v>
      </c>
      <c r="I219" s="45">
        <f t="shared" si="168"/>
        <v>0.19999999999999929</v>
      </c>
      <c r="J219" s="15"/>
      <c r="K219" s="15"/>
      <c r="L219" s="15"/>
      <c r="M219" s="15"/>
      <c r="N219" s="15">
        <f t="shared" si="177"/>
        <v>2.12</v>
      </c>
      <c r="O219" s="15">
        <f t="shared" si="178"/>
        <v>0.24</v>
      </c>
      <c r="P219" s="15"/>
      <c r="Q219" s="15"/>
      <c r="R219" s="15"/>
      <c r="S219" s="15"/>
      <c r="T219" s="45">
        <f t="shared" si="171"/>
        <v>2.6999999999999993</v>
      </c>
      <c r="U219" s="45">
        <f t="shared" si="179"/>
        <v>0.84799999999999698</v>
      </c>
      <c r="V219" s="45"/>
      <c r="W219" s="15"/>
      <c r="X219" s="15"/>
      <c r="Y219" s="46">
        <f t="shared" si="173"/>
        <v>0.50880000000000003</v>
      </c>
      <c r="Z219" s="46">
        <f t="shared" si="174"/>
        <v>0.10175999999999964</v>
      </c>
      <c r="AA219" s="46">
        <f t="shared" si="175"/>
        <v>0.50880000000000003</v>
      </c>
      <c r="AB219" s="46">
        <f t="shared" si="176"/>
        <v>0.84799999999999698</v>
      </c>
      <c r="AC219" s="46">
        <f t="shared" si="180"/>
        <v>0.50880000000000003</v>
      </c>
      <c r="AD219" s="15"/>
    </row>
    <row r="220" spans="1:30" x14ac:dyDescent="0.25">
      <c r="A220" s="25" t="s">
        <v>27</v>
      </c>
      <c r="B220" s="32"/>
      <c r="C220" s="26"/>
      <c r="D220" s="27" t="s">
        <v>268</v>
      </c>
      <c r="E220" s="29" t="s">
        <v>358</v>
      </c>
      <c r="F220" s="28" t="s">
        <v>359</v>
      </c>
      <c r="G220" s="45">
        <v>2.12</v>
      </c>
      <c r="H220" s="45">
        <v>0.24</v>
      </c>
      <c r="I220" s="45">
        <f t="shared" si="168"/>
        <v>0.19999999999999929</v>
      </c>
      <c r="J220" s="15"/>
      <c r="K220" s="15"/>
      <c r="L220" s="15"/>
      <c r="M220" s="15"/>
      <c r="N220" s="15">
        <f t="shared" si="177"/>
        <v>2.12</v>
      </c>
      <c r="O220" s="15">
        <f t="shared" si="178"/>
        <v>0.24</v>
      </c>
      <c r="P220" s="15"/>
      <c r="Q220" s="15"/>
      <c r="R220" s="15"/>
      <c r="S220" s="15"/>
      <c r="T220" s="45">
        <f t="shared" si="171"/>
        <v>2.6999999999999993</v>
      </c>
      <c r="U220" s="45">
        <f t="shared" si="179"/>
        <v>0.84799999999999698</v>
      </c>
      <c r="V220" s="45"/>
      <c r="W220" s="15"/>
      <c r="X220" s="15"/>
      <c r="Y220" s="46">
        <f t="shared" si="173"/>
        <v>0.50880000000000003</v>
      </c>
      <c r="Z220" s="46">
        <f t="shared" si="174"/>
        <v>0.10175999999999964</v>
      </c>
      <c r="AA220" s="46">
        <f t="shared" si="175"/>
        <v>0.50880000000000003</v>
      </c>
      <c r="AB220" s="46">
        <f t="shared" si="176"/>
        <v>0.84799999999999698</v>
      </c>
      <c r="AC220" s="46">
        <f t="shared" si="180"/>
        <v>0.50880000000000003</v>
      </c>
      <c r="AD220" s="15"/>
    </row>
    <row r="221" spans="1:30" x14ac:dyDescent="0.25">
      <c r="A221" s="25" t="s">
        <v>27</v>
      </c>
      <c r="B221" s="32"/>
      <c r="C221" s="26"/>
      <c r="D221" s="27" t="s">
        <v>269</v>
      </c>
      <c r="E221" s="29" t="s">
        <v>358</v>
      </c>
      <c r="F221" s="28" t="s">
        <v>359</v>
      </c>
      <c r="G221" s="45">
        <v>0.62</v>
      </c>
      <c r="H221" s="45">
        <v>0.24</v>
      </c>
      <c r="I221" s="45">
        <f t="shared" si="168"/>
        <v>0.19999999999999929</v>
      </c>
      <c r="J221" s="15"/>
      <c r="K221" s="15"/>
      <c r="L221" s="15"/>
      <c r="M221" s="15"/>
      <c r="N221" s="15">
        <f t="shared" ref="N221:N223" si="181">G221</f>
        <v>0.62</v>
      </c>
      <c r="O221" s="15">
        <f t="shared" ref="O221:O223" si="182">H221</f>
        <v>0.24</v>
      </c>
      <c r="P221" s="15"/>
      <c r="Q221" s="15"/>
      <c r="R221" s="15"/>
      <c r="S221" s="15"/>
      <c r="T221" s="45">
        <f t="shared" si="171"/>
        <v>2.6999999999999993</v>
      </c>
      <c r="U221" s="45">
        <f t="shared" ref="U221:U223" si="183">G221*2*I221</f>
        <v>0.24799999999999911</v>
      </c>
      <c r="V221" s="45"/>
      <c r="W221" s="15"/>
      <c r="X221" s="15"/>
      <c r="Y221" s="46">
        <f t="shared" si="173"/>
        <v>0.14879999999999999</v>
      </c>
      <c r="Z221" s="46">
        <f t="shared" si="174"/>
        <v>2.9759999999999891E-2</v>
      </c>
      <c r="AA221" s="46">
        <f t="shared" si="175"/>
        <v>0.14879999999999999</v>
      </c>
      <c r="AB221" s="46">
        <f t="shared" si="176"/>
        <v>0.24799999999999911</v>
      </c>
      <c r="AC221" s="46">
        <f t="shared" si="180"/>
        <v>0.14879999999999999</v>
      </c>
      <c r="AD221" s="15"/>
    </row>
    <row r="222" spans="1:30" x14ac:dyDescent="0.25">
      <c r="A222" s="25" t="s">
        <v>27</v>
      </c>
      <c r="B222" s="32"/>
      <c r="C222" s="26"/>
      <c r="D222" s="27" t="s">
        <v>270</v>
      </c>
      <c r="E222" s="29" t="s">
        <v>358</v>
      </c>
      <c r="F222" s="28" t="s">
        <v>359</v>
      </c>
      <c r="G222" s="45">
        <v>2.12</v>
      </c>
      <c r="H222" s="45">
        <v>0.24</v>
      </c>
      <c r="I222" s="45">
        <f t="shared" si="168"/>
        <v>0.19999999999999929</v>
      </c>
      <c r="J222" s="15"/>
      <c r="K222" s="15"/>
      <c r="L222" s="15"/>
      <c r="M222" s="15"/>
      <c r="N222" s="15">
        <f t="shared" si="181"/>
        <v>2.12</v>
      </c>
      <c r="O222" s="15">
        <f t="shared" si="182"/>
        <v>0.24</v>
      </c>
      <c r="P222" s="15"/>
      <c r="Q222" s="15"/>
      <c r="R222" s="15"/>
      <c r="S222" s="15"/>
      <c r="T222" s="45">
        <f t="shared" si="171"/>
        <v>2.6999999999999993</v>
      </c>
      <c r="U222" s="45">
        <f t="shared" si="183"/>
        <v>0.84799999999999698</v>
      </c>
      <c r="V222" s="45"/>
      <c r="W222" s="15"/>
      <c r="X222" s="15"/>
      <c r="Y222" s="46">
        <f t="shared" ref="Y222:Y258" si="184">IF(((G222*H222)+J222-K222+L222)=0,"",((G222*H222)+J222-K222+L222))</f>
        <v>0.50880000000000003</v>
      </c>
      <c r="Z222" s="46">
        <f t="shared" ref="Z222:Z258" si="185">IF(PRODUCT(Y222,I222)+M222=0,"",Y222*I222+M222)</f>
        <v>0.10175999999999964</v>
      </c>
      <c r="AA222" s="46">
        <f t="shared" ref="AA222:AA258" si="186">IF((N222*O222+P222-Q222-R222+S222)=0,"",(N222*O222+P222-Q222-R222+S222))</f>
        <v>0.50880000000000003</v>
      </c>
      <c r="AB222" s="46">
        <f t="shared" ref="AB222:AB258" si="187">IF((U222+V222-W222+X222)=0,"",(U222+V222-W222+X222))</f>
        <v>0.84799999999999698</v>
      </c>
      <c r="AC222" s="46">
        <f t="shared" ref="AC222:AC258" si="188">IF((N222*O222+P222-Q222-R222+S222)=0,"",(N222*O222+P222-Q222-R222+S222))</f>
        <v>0.50880000000000003</v>
      </c>
      <c r="AD222" s="15"/>
    </row>
    <row r="223" spans="1:30" x14ac:dyDescent="0.25">
      <c r="A223" s="25" t="s">
        <v>27</v>
      </c>
      <c r="B223" s="32"/>
      <c r="C223" s="26"/>
      <c r="D223" s="27" t="s">
        <v>271</v>
      </c>
      <c r="E223" s="29" t="s">
        <v>358</v>
      </c>
      <c r="F223" s="28" t="s">
        <v>359</v>
      </c>
      <c r="G223" s="45">
        <v>2.02</v>
      </c>
      <c r="H223" s="45">
        <v>0.24</v>
      </c>
      <c r="I223" s="45">
        <f>9.55-(6.65+2.65)</f>
        <v>0.25</v>
      </c>
      <c r="J223" s="15"/>
      <c r="K223" s="15"/>
      <c r="L223" s="15"/>
      <c r="M223" s="15"/>
      <c r="N223" s="15">
        <f t="shared" si="181"/>
        <v>2.02</v>
      </c>
      <c r="O223" s="15">
        <f t="shared" si="182"/>
        <v>0.24</v>
      </c>
      <c r="P223" s="15"/>
      <c r="Q223" s="15"/>
      <c r="R223" s="15"/>
      <c r="S223" s="15"/>
      <c r="T223" s="45">
        <f>9.55-I223-6.65</f>
        <v>2.6500000000000004</v>
      </c>
      <c r="U223" s="45">
        <f t="shared" si="183"/>
        <v>1.01</v>
      </c>
      <c r="V223" s="45"/>
      <c r="W223" s="15"/>
      <c r="X223" s="15"/>
      <c r="Y223" s="46">
        <f t="shared" si="184"/>
        <v>0.48480000000000001</v>
      </c>
      <c r="Z223" s="46">
        <f t="shared" si="185"/>
        <v>0.1212</v>
      </c>
      <c r="AA223" s="46">
        <f t="shared" si="186"/>
        <v>0.48480000000000001</v>
      </c>
      <c r="AB223" s="46">
        <f t="shared" si="187"/>
        <v>1.01</v>
      </c>
      <c r="AC223" s="46">
        <f t="shared" si="188"/>
        <v>0.48480000000000001</v>
      </c>
      <c r="AD223" s="15"/>
    </row>
    <row r="224" spans="1:30" x14ac:dyDescent="0.25">
      <c r="A224" s="25" t="s">
        <v>27</v>
      </c>
      <c r="B224" s="32"/>
      <c r="C224" s="26"/>
      <c r="D224" s="27" t="s">
        <v>272</v>
      </c>
      <c r="E224" s="29" t="s">
        <v>358</v>
      </c>
      <c r="F224" s="28" t="s">
        <v>359</v>
      </c>
      <c r="G224" s="45">
        <v>3.07</v>
      </c>
      <c r="H224" s="45">
        <v>0.24</v>
      </c>
      <c r="I224" s="45">
        <f t="shared" ref="I224:I261" si="189">9.55-(6.65+2.65)</f>
        <v>0.25</v>
      </c>
      <c r="J224" s="15"/>
      <c r="K224" s="15"/>
      <c r="L224" s="15"/>
      <c r="M224" s="15"/>
      <c r="N224" s="15">
        <f t="shared" ref="N224:N228" si="190">G224</f>
        <v>3.07</v>
      </c>
      <c r="O224" s="15">
        <f t="shared" ref="O224:O228" si="191">H224</f>
        <v>0.24</v>
      </c>
      <c r="P224" s="15"/>
      <c r="Q224" s="15"/>
      <c r="R224" s="15"/>
      <c r="S224" s="15"/>
      <c r="T224" s="45">
        <f t="shared" ref="T224:T228" si="192">9.55-I224-6.65</f>
        <v>2.6500000000000004</v>
      </c>
      <c r="U224" s="45">
        <f t="shared" ref="U224:U228" si="193">G224*2*I224</f>
        <v>1.5349999999999999</v>
      </c>
      <c r="V224" s="45"/>
      <c r="W224" s="15"/>
      <c r="X224" s="15"/>
      <c r="Y224" s="46">
        <f t="shared" si="184"/>
        <v>0.7367999999999999</v>
      </c>
      <c r="Z224" s="46">
        <f t="shared" si="185"/>
        <v>0.18419999999999997</v>
      </c>
      <c r="AA224" s="46">
        <f t="shared" si="186"/>
        <v>0.7367999999999999</v>
      </c>
      <c r="AB224" s="46">
        <f t="shared" si="187"/>
        <v>1.5349999999999999</v>
      </c>
      <c r="AC224" s="46">
        <f t="shared" si="188"/>
        <v>0.7367999999999999</v>
      </c>
      <c r="AD224" s="15"/>
    </row>
    <row r="225" spans="1:30" x14ac:dyDescent="0.25">
      <c r="A225" s="25" t="s">
        <v>27</v>
      </c>
      <c r="B225" s="32"/>
      <c r="C225" s="26"/>
      <c r="D225" s="27" t="s">
        <v>273</v>
      </c>
      <c r="E225" s="29" t="s">
        <v>358</v>
      </c>
      <c r="F225" s="28" t="s">
        <v>359</v>
      </c>
      <c r="G225" s="45">
        <v>0.79</v>
      </c>
      <c r="H225" s="45">
        <v>0.24</v>
      </c>
      <c r="I225" s="45">
        <f t="shared" si="189"/>
        <v>0.25</v>
      </c>
      <c r="J225" s="15"/>
      <c r="K225" s="15"/>
      <c r="L225" s="15"/>
      <c r="M225" s="15"/>
      <c r="N225" s="15">
        <f t="shared" si="190"/>
        <v>0.79</v>
      </c>
      <c r="O225" s="15">
        <f t="shared" si="191"/>
        <v>0.24</v>
      </c>
      <c r="P225" s="15"/>
      <c r="Q225" s="15"/>
      <c r="R225" s="15"/>
      <c r="S225" s="15"/>
      <c r="T225" s="45">
        <f t="shared" si="192"/>
        <v>2.6500000000000004</v>
      </c>
      <c r="U225" s="45">
        <f t="shared" si="193"/>
        <v>0.39500000000000002</v>
      </c>
      <c r="V225" s="45"/>
      <c r="W225" s="15"/>
      <c r="X225" s="15"/>
      <c r="Y225" s="46">
        <f t="shared" si="184"/>
        <v>0.18959999999999999</v>
      </c>
      <c r="Z225" s="46">
        <f t="shared" si="185"/>
        <v>4.7399999999999998E-2</v>
      </c>
      <c r="AA225" s="46">
        <f t="shared" si="186"/>
        <v>0.18959999999999999</v>
      </c>
      <c r="AB225" s="46">
        <f t="shared" si="187"/>
        <v>0.39500000000000002</v>
      </c>
      <c r="AC225" s="46">
        <f t="shared" si="188"/>
        <v>0.18959999999999999</v>
      </c>
      <c r="AD225" s="15"/>
    </row>
    <row r="226" spans="1:30" x14ac:dyDescent="0.25">
      <c r="A226" s="25" t="s">
        <v>27</v>
      </c>
      <c r="B226" s="32"/>
      <c r="C226" s="26"/>
      <c r="D226" s="27" t="s">
        <v>274</v>
      </c>
      <c r="E226" s="29" t="s">
        <v>358</v>
      </c>
      <c r="F226" s="28" t="s">
        <v>359</v>
      </c>
      <c r="G226" s="45">
        <v>1.92</v>
      </c>
      <c r="H226" s="45">
        <v>0.24</v>
      </c>
      <c r="I226" s="45">
        <f t="shared" si="189"/>
        <v>0.25</v>
      </c>
      <c r="J226" s="15"/>
      <c r="K226" s="15"/>
      <c r="L226" s="15"/>
      <c r="M226" s="15"/>
      <c r="N226" s="15">
        <f t="shared" si="190"/>
        <v>1.92</v>
      </c>
      <c r="O226" s="15">
        <f t="shared" si="191"/>
        <v>0.24</v>
      </c>
      <c r="P226" s="15"/>
      <c r="Q226" s="15"/>
      <c r="R226" s="15"/>
      <c r="S226" s="15"/>
      <c r="T226" s="45">
        <f t="shared" si="192"/>
        <v>2.6500000000000004</v>
      </c>
      <c r="U226" s="45">
        <f t="shared" si="193"/>
        <v>0.96</v>
      </c>
      <c r="V226" s="45"/>
      <c r="W226" s="15"/>
      <c r="X226" s="15"/>
      <c r="Y226" s="46">
        <f t="shared" si="184"/>
        <v>0.46079999999999999</v>
      </c>
      <c r="Z226" s="46">
        <f t="shared" si="185"/>
        <v>0.1152</v>
      </c>
      <c r="AA226" s="46">
        <f t="shared" si="186"/>
        <v>0.46079999999999999</v>
      </c>
      <c r="AB226" s="46">
        <f t="shared" si="187"/>
        <v>0.96</v>
      </c>
      <c r="AC226" s="46">
        <f t="shared" si="188"/>
        <v>0.46079999999999999</v>
      </c>
      <c r="AD226" s="15"/>
    </row>
    <row r="227" spans="1:30" x14ac:dyDescent="0.25">
      <c r="A227" s="25" t="s">
        <v>27</v>
      </c>
      <c r="B227" s="32"/>
      <c r="C227" s="26"/>
      <c r="D227" s="27" t="s">
        <v>275</v>
      </c>
      <c r="E227" s="29" t="s">
        <v>358</v>
      </c>
      <c r="F227" s="28" t="s">
        <v>359</v>
      </c>
      <c r="G227" s="45">
        <v>2.02</v>
      </c>
      <c r="H227" s="45">
        <v>0.24</v>
      </c>
      <c r="I227" s="45">
        <f t="shared" si="189"/>
        <v>0.25</v>
      </c>
      <c r="J227" s="15"/>
      <c r="K227" s="15"/>
      <c r="L227" s="15"/>
      <c r="M227" s="15"/>
      <c r="N227" s="15">
        <f t="shared" si="190"/>
        <v>2.02</v>
      </c>
      <c r="O227" s="15">
        <f t="shared" si="191"/>
        <v>0.24</v>
      </c>
      <c r="P227" s="15"/>
      <c r="Q227" s="15"/>
      <c r="R227" s="15"/>
      <c r="S227" s="15"/>
      <c r="T227" s="45">
        <f t="shared" si="192"/>
        <v>2.6500000000000004</v>
      </c>
      <c r="U227" s="45">
        <f t="shared" si="193"/>
        <v>1.01</v>
      </c>
      <c r="V227" s="45"/>
      <c r="W227" s="15"/>
      <c r="X227" s="15"/>
      <c r="Y227" s="46">
        <f t="shared" si="184"/>
        <v>0.48480000000000001</v>
      </c>
      <c r="Z227" s="46">
        <f t="shared" si="185"/>
        <v>0.1212</v>
      </c>
      <c r="AA227" s="46">
        <f t="shared" si="186"/>
        <v>0.48480000000000001</v>
      </c>
      <c r="AB227" s="46">
        <f t="shared" si="187"/>
        <v>1.01</v>
      </c>
      <c r="AC227" s="46">
        <f t="shared" si="188"/>
        <v>0.48480000000000001</v>
      </c>
      <c r="AD227" s="15"/>
    </row>
    <row r="228" spans="1:30" x14ac:dyDescent="0.25">
      <c r="A228" s="25" t="s">
        <v>27</v>
      </c>
      <c r="B228" s="32"/>
      <c r="C228" s="26"/>
      <c r="D228" s="27" t="s">
        <v>276</v>
      </c>
      <c r="E228" s="29" t="s">
        <v>358</v>
      </c>
      <c r="F228" s="28" t="s">
        <v>359</v>
      </c>
      <c r="G228" s="45">
        <v>3.07</v>
      </c>
      <c r="H228" s="45">
        <v>0.24</v>
      </c>
      <c r="I228" s="45">
        <f t="shared" si="189"/>
        <v>0.25</v>
      </c>
      <c r="J228" s="15"/>
      <c r="K228" s="15"/>
      <c r="L228" s="15"/>
      <c r="M228" s="15"/>
      <c r="N228" s="15">
        <f t="shared" si="190"/>
        <v>3.07</v>
      </c>
      <c r="O228" s="15">
        <f t="shared" si="191"/>
        <v>0.24</v>
      </c>
      <c r="P228" s="15"/>
      <c r="Q228" s="15"/>
      <c r="R228" s="15"/>
      <c r="S228" s="15"/>
      <c r="T228" s="45">
        <f t="shared" si="192"/>
        <v>2.6500000000000004</v>
      </c>
      <c r="U228" s="45">
        <f t="shared" si="193"/>
        <v>1.5349999999999999</v>
      </c>
      <c r="V228" s="45"/>
      <c r="W228" s="15"/>
      <c r="X228" s="15"/>
      <c r="Y228" s="46">
        <f t="shared" si="184"/>
        <v>0.7367999999999999</v>
      </c>
      <c r="Z228" s="46">
        <f t="shared" si="185"/>
        <v>0.18419999999999997</v>
      </c>
      <c r="AA228" s="46">
        <f t="shared" si="186"/>
        <v>0.7367999999999999</v>
      </c>
      <c r="AB228" s="46">
        <f t="shared" si="187"/>
        <v>1.5349999999999999</v>
      </c>
      <c r="AC228" s="46">
        <f t="shared" si="188"/>
        <v>0.7367999999999999</v>
      </c>
      <c r="AD228" s="15"/>
    </row>
    <row r="229" spans="1:30" x14ac:dyDescent="0.25">
      <c r="A229" s="25" t="s">
        <v>27</v>
      </c>
      <c r="B229" s="32"/>
      <c r="C229" s="26"/>
      <c r="D229" s="27" t="s">
        <v>277</v>
      </c>
      <c r="E229" s="29" t="s">
        <v>358</v>
      </c>
      <c r="F229" s="28" t="s">
        <v>359</v>
      </c>
      <c r="G229" s="45">
        <v>3.12</v>
      </c>
      <c r="H229" s="45">
        <v>0.24</v>
      </c>
      <c r="I229" s="45">
        <f t="shared" si="189"/>
        <v>0.25</v>
      </c>
      <c r="J229" s="15"/>
      <c r="K229" s="15"/>
      <c r="L229" s="15"/>
      <c r="M229" s="15"/>
      <c r="N229" s="15">
        <f t="shared" ref="N229:N236" si="194">G229</f>
        <v>3.12</v>
      </c>
      <c r="O229" s="15">
        <f t="shared" ref="O229:O236" si="195">H229</f>
        <v>0.24</v>
      </c>
      <c r="P229" s="15"/>
      <c r="Q229" s="15"/>
      <c r="R229" s="15"/>
      <c r="S229" s="15"/>
      <c r="T229" s="45">
        <f t="shared" ref="T229:T236" si="196">9.55-I229-6.65</f>
        <v>2.6500000000000004</v>
      </c>
      <c r="U229" s="45">
        <f t="shared" ref="U229:U236" si="197">G229*2*I229</f>
        <v>1.56</v>
      </c>
      <c r="V229" s="45"/>
      <c r="W229" s="15"/>
      <c r="X229" s="15"/>
      <c r="Y229" s="46">
        <f t="shared" si="184"/>
        <v>0.74880000000000002</v>
      </c>
      <c r="Z229" s="46">
        <f t="shared" si="185"/>
        <v>0.18720000000000001</v>
      </c>
      <c r="AA229" s="46">
        <f t="shared" si="186"/>
        <v>0.74880000000000002</v>
      </c>
      <c r="AB229" s="46">
        <f t="shared" si="187"/>
        <v>1.56</v>
      </c>
      <c r="AC229" s="46">
        <f t="shared" si="188"/>
        <v>0.74880000000000002</v>
      </c>
      <c r="AD229" s="15"/>
    </row>
    <row r="230" spans="1:30" x14ac:dyDescent="0.25">
      <c r="A230" s="25" t="s">
        <v>27</v>
      </c>
      <c r="B230" s="32"/>
      <c r="C230" s="26"/>
      <c r="D230" s="27" t="s">
        <v>278</v>
      </c>
      <c r="E230" s="29" t="s">
        <v>89</v>
      </c>
      <c r="F230" s="28" t="s">
        <v>86</v>
      </c>
      <c r="G230" s="45">
        <v>6.51</v>
      </c>
      <c r="H230" s="45">
        <v>0.44</v>
      </c>
      <c r="I230" s="45">
        <f t="shared" si="189"/>
        <v>0.25</v>
      </c>
      <c r="J230" s="15"/>
      <c r="K230" s="15"/>
      <c r="L230" s="15"/>
      <c r="M230" s="15"/>
      <c r="N230" s="15">
        <f t="shared" si="194"/>
        <v>6.51</v>
      </c>
      <c r="O230" s="15">
        <f t="shared" si="195"/>
        <v>0.44</v>
      </c>
      <c r="P230" s="15"/>
      <c r="Q230" s="15"/>
      <c r="R230" s="15"/>
      <c r="S230" s="15"/>
      <c r="T230" s="45">
        <f t="shared" si="196"/>
        <v>2.6500000000000004</v>
      </c>
      <c r="U230" s="45">
        <f t="shared" si="197"/>
        <v>3.2549999999999999</v>
      </c>
      <c r="V230" s="45"/>
      <c r="W230" s="15"/>
      <c r="X230" s="15"/>
      <c r="Y230" s="46">
        <f t="shared" si="184"/>
        <v>2.8643999999999998</v>
      </c>
      <c r="Z230" s="46">
        <f t="shared" si="185"/>
        <v>0.71609999999999996</v>
      </c>
      <c r="AA230" s="46">
        <f t="shared" si="186"/>
        <v>2.8643999999999998</v>
      </c>
      <c r="AB230" s="46">
        <f t="shared" si="187"/>
        <v>3.2549999999999999</v>
      </c>
      <c r="AC230" s="46">
        <f t="shared" si="188"/>
        <v>2.8643999999999998</v>
      </c>
      <c r="AD230" s="15"/>
    </row>
    <row r="231" spans="1:30" x14ac:dyDescent="0.25">
      <c r="A231" s="25" t="s">
        <v>27</v>
      </c>
      <c r="B231" s="32"/>
      <c r="C231" s="26"/>
      <c r="D231" s="27" t="s">
        <v>279</v>
      </c>
      <c r="E231" s="29" t="s">
        <v>89</v>
      </c>
      <c r="F231" s="28" t="s">
        <v>86</v>
      </c>
      <c r="G231" s="45">
        <v>11.2</v>
      </c>
      <c r="H231" s="45">
        <v>0.24</v>
      </c>
      <c r="I231" s="45">
        <f t="shared" si="189"/>
        <v>0.25</v>
      </c>
      <c r="J231" s="15"/>
      <c r="K231" s="15"/>
      <c r="L231" s="15"/>
      <c r="M231" s="15"/>
      <c r="N231" s="15">
        <f t="shared" si="194"/>
        <v>11.2</v>
      </c>
      <c r="O231" s="15">
        <f t="shared" si="195"/>
        <v>0.24</v>
      </c>
      <c r="P231" s="15"/>
      <c r="Q231" s="15"/>
      <c r="R231" s="15"/>
      <c r="S231" s="15"/>
      <c r="T231" s="45">
        <f t="shared" si="196"/>
        <v>2.6500000000000004</v>
      </c>
      <c r="U231" s="45">
        <f t="shared" si="197"/>
        <v>5.6</v>
      </c>
      <c r="V231" s="45"/>
      <c r="W231" s="15"/>
      <c r="X231" s="15"/>
      <c r="Y231" s="46">
        <f t="shared" si="184"/>
        <v>2.6879999999999997</v>
      </c>
      <c r="Z231" s="46">
        <f t="shared" si="185"/>
        <v>0.67199999999999993</v>
      </c>
      <c r="AA231" s="46">
        <f t="shared" si="186"/>
        <v>2.6879999999999997</v>
      </c>
      <c r="AB231" s="46">
        <f t="shared" si="187"/>
        <v>5.6</v>
      </c>
      <c r="AC231" s="46">
        <f t="shared" si="188"/>
        <v>2.6879999999999997</v>
      </c>
      <c r="AD231" s="15"/>
    </row>
    <row r="232" spans="1:30" x14ac:dyDescent="0.25">
      <c r="A232" s="25" t="s">
        <v>27</v>
      </c>
      <c r="B232" s="32"/>
      <c r="C232" s="26"/>
      <c r="D232" s="27" t="s">
        <v>280</v>
      </c>
      <c r="E232" s="29" t="s">
        <v>358</v>
      </c>
      <c r="F232" s="28" t="s">
        <v>359</v>
      </c>
      <c r="G232" s="45">
        <v>1.07</v>
      </c>
      <c r="H232" s="45">
        <v>0.24</v>
      </c>
      <c r="I232" s="45">
        <f t="shared" si="189"/>
        <v>0.25</v>
      </c>
      <c r="J232" s="15"/>
      <c r="K232" s="15"/>
      <c r="L232" s="15"/>
      <c r="M232" s="15"/>
      <c r="N232" s="15">
        <f t="shared" si="194"/>
        <v>1.07</v>
      </c>
      <c r="O232" s="15">
        <f t="shared" si="195"/>
        <v>0.24</v>
      </c>
      <c r="P232" s="15"/>
      <c r="Q232" s="15"/>
      <c r="R232" s="15"/>
      <c r="S232" s="15"/>
      <c r="T232" s="45">
        <f t="shared" si="196"/>
        <v>2.6500000000000004</v>
      </c>
      <c r="U232" s="45">
        <f t="shared" si="197"/>
        <v>0.53500000000000003</v>
      </c>
      <c r="V232" s="45"/>
      <c r="W232" s="15"/>
      <c r="X232" s="15"/>
      <c r="Y232" s="46">
        <f t="shared" si="184"/>
        <v>0.25680000000000003</v>
      </c>
      <c r="Z232" s="46">
        <f t="shared" si="185"/>
        <v>6.4200000000000007E-2</v>
      </c>
      <c r="AA232" s="46">
        <f t="shared" si="186"/>
        <v>0.25680000000000003</v>
      </c>
      <c r="AB232" s="46">
        <f t="shared" si="187"/>
        <v>0.53500000000000003</v>
      </c>
      <c r="AC232" s="46">
        <f t="shared" si="188"/>
        <v>0.25680000000000003</v>
      </c>
      <c r="AD232" s="15"/>
    </row>
    <row r="233" spans="1:30" x14ac:dyDescent="0.25">
      <c r="A233" s="25" t="s">
        <v>27</v>
      </c>
      <c r="B233" s="32"/>
      <c r="C233" s="26"/>
      <c r="D233" s="27" t="s">
        <v>281</v>
      </c>
      <c r="E233" s="29" t="s">
        <v>358</v>
      </c>
      <c r="F233" s="28" t="s">
        <v>359</v>
      </c>
      <c r="G233" s="45">
        <v>1.07</v>
      </c>
      <c r="H233" s="45">
        <v>0.24</v>
      </c>
      <c r="I233" s="45">
        <f t="shared" si="189"/>
        <v>0.25</v>
      </c>
      <c r="J233" s="15"/>
      <c r="K233" s="15"/>
      <c r="L233" s="15"/>
      <c r="M233" s="15"/>
      <c r="N233" s="15">
        <f t="shared" si="194"/>
        <v>1.07</v>
      </c>
      <c r="O233" s="15">
        <f t="shared" si="195"/>
        <v>0.24</v>
      </c>
      <c r="P233" s="15"/>
      <c r="Q233" s="15"/>
      <c r="R233" s="15"/>
      <c r="S233" s="15"/>
      <c r="T233" s="45">
        <f t="shared" si="196"/>
        <v>2.6500000000000004</v>
      </c>
      <c r="U233" s="45">
        <f t="shared" si="197"/>
        <v>0.53500000000000003</v>
      </c>
      <c r="V233" s="45"/>
      <c r="W233" s="15"/>
      <c r="X233" s="15"/>
      <c r="Y233" s="46">
        <f t="shared" si="184"/>
        <v>0.25680000000000003</v>
      </c>
      <c r="Z233" s="46">
        <f t="shared" si="185"/>
        <v>6.4200000000000007E-2</v>
      </c>
      <c r="AA233" s="46">
        <f t="shared" si="186"/>
        <v>0.25680000000000003</v>
      </c>
      <c r="AB233" s="46">
        <f t="shared" si="187"/>
        <v>0.53500000000000003</v>
      </c>
      <c r="AC233" s="46">
        <f t="shared" si="188"/>
        <v>0.25680000000000003</v>
      </c>
      <c r="AD233" s="15"/>
    </row>
    <row r="234" spans="1:30" x14ac:dyDescent="0.25">
      <c r="A234" s="25" t="s">
        <v>27</v>
      </c>
      <c r="B234" s="32"/>
      <c r="C234" s="26"/>
      <c r="D234" s="27" t="s">
        <v>282</v>
      </c>
      <c r="E234" s="29" t="s">
        <v>89</v>
      </c>
      <c r="F234" s="28" t="s">
        <v>86</v>
      </c>
      <c r="G234" s="45">
        <v>2.8</v>
      </c>
      <c r="H234" s="45">
        <v>0.24</v>
      </c>
      <c r="I234" s="45">
        <f t="shared" si="189"/>
        <v>0.25</v>
      </c>
      <c r="J234" s="15"/>
      <c r="K234" s="15"/>
      <c r="L234" s="15"/>
      <c r="M234" s="15"/>
      <c r="N234" s="15">
        <f t="shared" si="194"/>
        <v>2.8</v>
      </c>
      <c r="O234" s="15">
        <f t="shared" si="195"/>
        <v>0.24</v>
      </c>
      <c r="P234" s="15"/>
      <c r="Q234" s="15"/>
      <c r="R234" s="15"/>
      <c r="S234" s="15"/>
      <c r="T234" s="45">
        <f t="shared" si="196"/>
        <v>2.6500000000000004</v>
      </c>
      <c r="U234" s="45">
        <f t="shared" si="197"/>
        <v>1.4</v>
      </c>
      <c r="V234" s="45"/>
      <c r="W234" s="15"/>
      <c r="X234" s="15"/>
      <c r="Y234" s="46">
        <f t="shared" si="184"/>
        <v>0.67199999999999993</v>
      </c>
      <c r="Z234" s="46">
        <f t="shared" si="185"/>
        <v>0.16799999999999998</v>
      </c>
      <c r="AA234" s="46">
        <f t="shared" si="186"/>
        <v>0.67199999999999993</v>
      </c>
      <c r="AB234" s="46">
        <f t="shared" si="187"/>
        <v>1.4</v>
      </c>
      <c r="AC234" s="46">
        <f t="shared" si="188"/>
        <v>0.67199999999999993</v>
      </c>
      <c r="AD234" s="15"/>
    </row>
    <row r="235" spans="1:30" x14ac:dyDescent="0.25">
      <c r="A235" s="25" t="s">
        <v>27</v>
      </c>
      <c r="B235" s="32"/>
      <c r="C235" s="26"/>
      <c r="D235" s="27" t="s">
        <v>283</v>
      </c>
      <c r="E235" s="29" t="s">
        <v>89</v>
      </c>
      <c r="F235" s="28" t="s">
        <v>86</v>
      </c>
      <c r="G235" s="45">
        <v>2.86</v>
      </c>
      <c r="H235" s="45">
        <v>0.24</v>
      </c>
      <c r="I235" s="45">
        <f t="shared" si="189"/>
        <v>0.25</v>
      </c>
      <c r="J235" s="15"/>
      <c r="K235" s="15"/>
      <c r="L235" s="15"/>
      <c r="M235" s="15"/>
      <c r="N235" s="15">
        <f t="shared" si="194"/>
        <v>2.86</v>
      </c>
      <c r="O235" s="15">
        <f t="shared" si="195"/>
        <v>0.24</v>
      </c>
      <c r="P235" s="15"/>
      <c r="Q235" s="15"/>
      <c r="R235" s="15"/>
      <c r="S235" s="15"/>
      <c r="T235" s="45">
        <f t="shared" si="196"/>
        <v>2.6500000000000004</v>
      </c>
      <c r="U235" s="45">
        <f t="shared" si="197"/>
        <v>1.43</v>
      </c>
      <c r="V235" s="45"/>
      <c r="W235" s="15"/>
      <c r="X235" s="15"/>
      <c r="Y235" s="46">
        <f t="shared" si="184"/>
        <v>0.6863999999999999</v>
      </c>
      <c r="Z235" s="46">
        <f t="shared" si="185"/>
        <v>0.17159999999999997</v>
      </c>
      <c r="AA235" s="46">
        <f t="shared" si="186"/>
        <v>0.6863999999999999</v>
      </c>
      <c r="AB235" s="46">
        <f t="shared" si="187"/>
        <v>1.43</v>
      </c>
      <c r="AC235" s="46">
        <f t="shared" si="188"/>
        <v>0.6863999999999999</v>
      </c>
      <c r="AD235" s="15"/>
    </row>
    <row r="236" spans="1:30" x14ac:dyDescent="0.25">
      <c r="A236" s="25" t="s">
        <v>27</v>
      </c>
      <c r="B236" s="32"/>
      <c r="C236" s="26"/>
      <c r="D236" s="27" t="s">
        <v>284</v>
      </c>
      <c r="E236" s="29" t="s">
        <v>89</v>
      </c>
      <c r="F236" s="28" t="s">
        <v>86</v>
      </c>
      <c r="G236" s="45">
        <v>2.13</v>
      </c>
      <c r="H236" s="45">
        <v>0.24</v>
      </c>
      <c r="I236" s="45">
        <f t="shared" si="189"/>
        <v>0.25</v>
      </c>
      <c r="J236" s="15"/>
      <c r="K236" s="15"/>
      <c r="L236" s="15"/>
      <c r="M236" s="15"/>
      <c r="N236" s="15">
        <f t="shared" si="194"/>
        <v>2.13</v>
      </c>
      <c r="O236" s="15">
        <f t="shared" si="195"/>
        <v>0.24</v>
      </c>
      <c r="P236" s="15"/>
      <c r="Q236" s="15"/>
      <c r="R236" s="15"/>
      <c r="S236" s="15"/>
      <c r="T236" s="45">
        <f t="shared" si="196"/>
        <v>2.6500000000000004</v>
      </c>
      <c r="U236" s="45">
        <f t="shared" si="197"/>
        <v>1.0649999999999999</v>
      </c>
      <c r="V236" s="45"/>
      <c r="W236" s="15"/>
      <c r="X236" s="15"/>
      <c r="Y236" s="46">
        <f t="shared" si="184"/>
        <v>0.51119999999999999</v>
      </c>
      <c r="Z236" s="46">
        <f t="shared" si="185"/>
        <v>0.1278</v>
      </c>
      <c r="AA236" s="46">
        <f t="shared" si="186"/>
        <v>0.51119999999999999</v>
      </c>
      <c r="AB236" s="46">
        <f t="shared" si="187"/>
        <v>1.0649999999999999</v>
      </c>
      <c r="AC236" s="46">
        <f t="shared" si="188"/>
        <v>0.51119999999999999</v>
      </c>
      <c r="AD236" s="15"/>
    </row>
    <row r="237" spans="1:30" x14ac:dyDescent="0.25">
      <c r="A237" s="25" t="s">
        <v>27</v>
      </c>
      <c r="B237" s="32"/>
      <c r="C237" s="26"/>
      <c r="D237" s="27" t="s">
        <v>285</v>
      </c>
      <c r="E237" s="29" t="s">
        <v>89</v>
      </c>
      <c r="F237" s="28" t="s">
        <v>86</v>
      </c>
      <c r="G237" s="45">
        <v>3.25</v>
      </c>
      <c r="H237" s="45">
        <v>0.24</v>
      </c>
      <c r="I237" s="45">
        <f t="shared" si="189"/>
        <v>0.25</v>
      </c>
      <c r="J237" s="15"/>
      <c r="K237" s="15"/>
      <c r="L237" s="15"/>
      <c r="M237" s="15"/>
      <c r="N237" s="15">
        <f t="shared" ref="N237:N253" si="198">G237</f>
        <v>3.25</v>
      </c>
      <c r="O237" s="15">
        <f t="shared" ref="O237:O253" si="199">H237</f>
        <v>0.24</v>
      </c>
      <c r="P237" s="15"/>
      <c r="Q237" s="15"/>
      <c r="R237" s="15"/>
      <c r="S237" s="15"/>
      <c r="T237" s="45">
        <f t="shared" ref="T237:T253" si="200">9.55-I237-6.65</f>
        <v>2.6500000000000004</v>
      </c>
      <c r="U237" s="45">
        <f t="shared" ref="U237:U253" si="201">G237*2*I237</f>
        <v>1.625</v>
      </c>
      <c r="V237" s="45"/>
      <c r="W237" s="15"/>
      <c r="X237" s="15"/>
      <c r="Y237" s="46">
        <f t="shared" si="184"/>
        <v>0.78</v>
      </c>
      <c r="Z237" s="46">
        <f t="shared" si="185"/>
        <v>0.19500000000000001</v>
      </c>
      <c r="AA237" s="46">
        <f t="shared" si="186"/>
        <v>0.78</v>
      </c>
      <c r="AB237" s="46">
        <f t="shared" si="187"/>
        <v>1.625</v>
      </c>
      <c r="AC237" s="46">
        <f t="shared" si="188"/>
        <v>0.78</v>
      </c>
      <c r="AD237" s="15"/>
    </row>
    <row r="238" spans="1:30" x14ac:dyDescent="0.25">
      <c r="A238" s="25" t="s">
        <v>27</v>
      </c>
      <c r="B238" s="32"/>
      <c r="C238" s="26"/>
      <c r="D238" s="27" t="s">
        <v>286</v>
      </c>
      <c r="E238" s="29" t="s">
        <v>358</v>
      </c>
      <c r="F238" s="28" t="s">
        <v>359</v>
      </c>
      <c r="G238" s="45">
        <v>1.22</v>
      </c>
      <c r="H238" s="45">
        <v>0.2</v>
      </c>
      <c r="I238" s="45">
        <f t="shared" si="189"/>
        <v>0.25</v>
      </c>
      <c r="J238" s="15"/>
      <c r="K238" s="15"/>
      <c r="L238" s="15"/>
      <c r="M238" s="15"/>
      <c r="N238" s="15">
        <f t="shared" si="198"/>
        <v>1.22</v>
      </c>
      <c r="O238" s="15">
        <f t="shared" si="199"/>
        <v>0.2</v>
      </c>
      <c r="P238" s="15"/>
      <c r="Q238" s="15"/>
      <c r="R238" s="15"/>
      <c r="S238" s="15"/>
      <c r="T238" s="45">
        <f t="shared" si="200"/>
        <v>2.6500000000000004</v>
      </c>
      <c r="U238" s="45">
        <f t="shared" si="201"/>
        <v>0.61</v>
      </c>
      <c r="V238" s="45"/>
      <c r="W238" s="15"/>
      <c r="X238" s="15"/>
      <c r="Y238" s="46">
        <f t="shared" si="184"/>
        <v>0.24399999999999999</v>
      </c>
      <c r="Z238" s="46">
        <f t="shared" si="185"/>
        <v>6.0999999999999999E-2</v>
      </c>
      <c r="AA238" s="46">
        <f t="shared" si="186"/>
        <v>0.24399999999999999</v>
      </c>
      <c r="AB238" s="46">
        <f t="shared" si="187"/>
        <v>0.61</v>
      </c>
      <c r="AC238" s="46">
        <f t="shared" si="188"/>
        <v>0.24399999999999999</v>
      </c>
      <c r="AD238" s="15"/>
    </row>
    <row r="239" spans="1:30" x14ac:dyDescent="0.25">
      <c r="A239" s="25" t="s">
        <v>27</v>
      </c>
      <c r="B239" s="32"/>
      <c r="C239" s="26"/>
      <c r="D239" s="27" t="s">
        <v>287</v>
      </c>
      <c r="E239" s="29" t="s">
        <v>358</v>
      </c>
      <c r="F239" s="28" t="s">
        <v>359</v>
      </c>
      <c r="G239" s="45">
        <v>1.62</v>
      </c>
      <c r="H239" s="45">
        <v>0.2</v>
      </c>
      <c r="I239" s="45">
        <f t="shared" si="189"/>
        <v>0.25</v>
      </c>
      <c r="J239" s="15"/>
      <c r="K239" s="15"/>
      <c r="L239" s="15"/>
      <c r="M239" s="15"/>
      <c r="N239" s="15">
        <f t="shared" si="198"/>
        <v>1.62</v>
      </c>
      <c r="O239" s="15">
        <f t="shared" si="199"/>
        <v>0.2</v>
      </c>
      <c r="P239" s="15"/>
      <c r="Q239" s="15"/>
      <c r="R239" s="15"/>
      <c r="S239" s="15"/>
      <c r="T239" s="45">
        <f t="shared" si="200"/>
        <v>2.6500000000000004</v>
      </c>
      <c r="U239" s="45">
        <f t="shared" si="201"/>
        <v>0.81</v>
      </c>
      <c r="V239" s="45"/>
      <c r="W239" s="15"/>
      <c r="X239" s="15"/>
      <c r="Y239" s="46">
        <f t="shared" ref="Y239:Y257" si="202">IF(((G239*H239)+J239-K239+L239)=0,"",((G239*H239)+J239-K239+L239))</f>
        <v>0.32400000000000007</v>
      </c>
      <c r="Z239" s="46">
        <f t="shared" ref="Z239:Z257" si="203">IF(PRODUCT(Y239,I239)+M239=0,"",Y239*I239+M239)</f>
        <v>8.1000000000000016E-2</v>
      </c>
      <c r="AA239" s="46">
        <f t="shared" ref="AA239:AA257" si="204">IF((N239*O239+P239-Q239-R239+S239)=0,"",(N239*O239+P239-Q239-R239+S239))</f>
        <v>0.32400000000000007</v>
      </c>
      <c r="AB239" s="46">
        <f t="shared" ref="AB239:AB257" si="205">IF((U239+V239-W239+X239)=0,"",(U239+V239-W239+X239))</f>
        <v>0.81</v>
      </c>
      <c r="AC239" s="46">
        <f t="shared" ref="AC239:AC257" si="206">IF((N239*O239+P239-Q239-R239+S239)=0,"",(N239*O239+P239-Q239-R239+S239))</f>
        <v>0.32400000000000007</v>
      </c>
      <c r="AD239" s="15"/>
    </row>
    <row r="240" spans="1:30" x14ac:dyDescent="0.25">
      <c r="A240" s="25" t="s">
        <v>27</v>
      </c>
      <c r="B240" s="32"/>
      <c r="C240" s="26"/>
      <c r="D240" s="27" t="s">
        <v>288</v>
      </c>
      <c r="E240" s="29" t="s">
        <v>89</v>
      </c>
      <c r="F240" s="28" t="s">
        <v>86</v>
      </c>
      <c r="G240" s="45">
        <v>3.32</v>
      </c>
      <c r="H240" s="45">
        <v>0.24</v>
      </c>
      <c r="I240" s="45">
        <f t="shared" si="189"/>
        <v>0.25</v>
      </c>
      <c r="J240" s="15"/>
      <c r="K240" s="15"/>
      <c r="L240" s="15"/>
      <c r="M240" s="15"/>
      <c r="N240" s="15">
        <f t="shared" si="198"/>
        <v>3.32</v>
      </c>
      <c r="O240" s="15">
        <f t="shared" si="199"/>
        <v>0.24</v>
      </c>
      <c r="P240" s="15"/>
      <c r="Q240" s="15"/>
      <c r="R240" s="15"/>
      <c r="S240" s="15"/>
      <c r="T240" s="45">
        <f t="shared" si="200"/>
        <v>2.6500000000000004</v>
      </c>
      <c r="U240" s="45">
        <f t="shared" si="201"/>
        <v>1.66</v>
      </c>
      <c r="V240" s="45"/>
      <c r="W240" s="15"/>
      <c r="X240" s="15"/>
      <c r="Y240" s="46">
        <f t="shared" si="202"/>
        <v>0.79679999999999995</v>
      </c>
      <c r="Z240" s="46">
        <f t="shared" si="203"/>
        <v>0.19919999999999999</v>
      </c>
      <c r="AA240" s="46">
        <f t="shared" si="204"/>
        <v>0.79679999999999995</v>
      </c>
      <c r="AB240" s="46">
        <f t="shared" si="205"/>
        <v>1.66</v>
      </c>
      <c r="AC240" s="46">
        <f t="shared" si="206"/>
        <v>0.79679999999999995</v>
      </c>
      <c r="AD240" s="15"/>
    </row>
    <row r="241" spans="1:30" x14ac:dyDescent="0.25">
      <c r="A241" s="25" t="s">
        <v>27</v>
      </c>
      <c r="B241" s="32"/>
      <c r="C241" s="26"/>
      <c r="D241" s="27" t="s">
        <v>289</v>
      </c>
      <c r="E241" s="29" t="s">
        <v>358</v>
      </c>
      <c r="F241" s="28" t="s">
        <v>359</v>
      </c>
      <c r="G241" s="45">
        <v>0.97</v>
      </c>
      <c r="H241" s="45">
        <v>0.24</v>
      </c>
      <c r="I241" s="45">
        <f t="shared" si="189"/>
        <v>0.25</v>
      </c>
      <c r="J241" s="15"/>
      <c r="K241" s="15"/>
      <c r="L241" s="15"/>
      <c r="M241" s="15"/>
      <c r="N241" s="15">
        <f t="shared" si="198"/>
        <v>0.97</v>
      </c>
      <c r="O241" s="15">
        <f t="shared" si="199"/>
        <v>0.24</v>
      </c>
      <c r="P241" s="15"/>
      <c r="Q241" s="15"/>
      <c r="R241" s="15"/>
      <c r="S241" s="15"/>
      <c r="T241" s="45">
        <f t="shared" si="200"/>
        <v>2.6500000000000004</v>
      </c>
      <c r="U241" s="45">
        <f t="shared" si="201"/>
        <v>0.48499999999999999</v>
      </c>
      <c r="V241" s="45"/>
      <c r="W241" s="15"/>
      <c r="X241" s="15"/>
      <c r="Y241" s="46">
        <f t="shared" si="202"/>
        <v>0.23279999999999998</v>
      </c>
      <c r="Z241" s="46">
        <f t="shared" si="203"/>
        <v>5.8199999999999995E-2</v>
      </c>
      <c r="AA241" s="46">
        <f t="shared" si="204"/>
        <v>0.23279999999999998</v>
      </c>
      <c r="AB241" s="46">
        <f t="shared" si="205"/>
        <v>0.48499999999999999</v>
      </c>
      <c r="AC241" s="46">
        <f t="shared" si="206"/>
        <v>0.23279999999999998</v>
      </c>
      <c r="AD241" s="15"/>
    </row>
    <row r="242" spans="1:30" x14ac:dyDescent="0.25">
      <c r="A242" s="25" t="s">
        <v>27</v>
      </c>
      <c r="B242" s="32"/>
      <c r="C242" s="26"/>
      <c r="D242" s="27" t="s">
        <v>290</v>
      </c>
      <c r="E242" s="29" t="s">
        <v>89</v>
      </c>
      <c r="F242" s="28" t="s">
        <v>86</v>
      </c>
      <c r="G242" s="45">
        <v>8.6</v>
      </c>
      <c r="H242" s="45">
        <v>0.24</v>
      </c>
      <c r="I242" s="45">
        <f t="shared" si="189"/>
        <v>0.25</v>
      </c>
      <c r="J242" s="15"/>
      <c r="K242" s="15"/>
      <c r="L242" s="15"/>
      <c r="M242" s="15"/>
      <c r="N242" s="15">
        <f t="shared" si="198"/>
        <v>8.6</v>
      </c>
      <c r="O242" s="15">
        <f t="shared" si="199"/>
        <v>0.24</v>
      </c>
      <c r="P242" s="15"/>
      <c r="Q242" s="15"/>
      <c r="R242" s="15"/>
      <c r="S242" s="15"/>
      <c r="T242" s="45">
        <f t="shared" si="200"/>
        <v>2.6500000000000004</v>
      </c>
      <c r="U242" s="45">
        <f t="shared" si="201"/>
        <v>4.3</v>
      </c>
      <c r="V242" s="45"/>
      <c r="W242" s="15"/>
      <c r="X242" s="15"/>
      <c r="Y242" s="46">
        <f t="shared" si="202"/>
        <v>2.0640000000000001</v>
      </c>
      <c r="Z242" s="46">
        <f t="shared" si="203"/>
        <v>0.51600000000000001</v>
      </c>
      <c r="AA242" s="46">
        <f t="shared" si="204"/>
        <v>2.0640000000000001</v>
      </c>
      <c r="AB242" s="46">
        <f t="shared" si="205"/>
        <v>4.3</v>
      </c>
      <c r="AC242" s="46">
        <f t="shared" si="206"/>
        <v>2.0640000000000001</v>
      </c>
      <c r="AD242" s="15"/>
    </row>
    <row r="243" spans="1:30" x14ac:dyDescent="0.25">
      <c r="A243" s="25" t="s">
        <v>27</v>
      </c>
      <c r="B243" s="32"/>
      <c r="C243" s="26"/>
      <c r="D243" s="27" t="s">
        <v>291</v>
      </c>
      <c r="E243" s="29" t="s">
        <v>89</v>
      </c>
      <c r="F243" s="28" t="s">
        <v>86</v>
      </c>
      <c r="G243" s="45">
        <v>5.5149999999999997</v>
      </c>
      <c r="H243" s="45">
        <v>0.45</v>
      </c>
      <c r="I243" s="45">
        <f t="shared" si="189"/>
        <v>0.25</v>
      </c>
      <c r="J243" s="15"/>
      <c r="K243" s="15"/>
      <c r="L243" s="15"/>
      <c r="M243" s="15"/>
      <c r="N243" s="15">
        <f t="shared" si="198"/>
        <v>5.5149999999999997</v>
      </c>
      <c r="O243" s="15">
        <f t="shared" si="199"/>
        <v>0.45</v>
      </c>
      <c r="P243" s="15"/>
      <c r="Q243" s="15"/>
      <c r="R243" s="15"/>
      <c r="S243" s="15"/>
      <c r="T243" s="45">
        <f t="shared" si="200"/>
        <v>2.6500000000000004</v>
      </c>
      <c r="U243" s="45">
        <f t="shared" si="201"/>
        <v>2.7574999999999998</v>
      </c>
      <c r="V243" s="45"/>
      <c r="W243" s="15"/>
      <c r="X243" s="15"/>
      <c r="Y243" s="46">
        <f t="shared" si="202"/>
        <v>2.4817499999999999</v>
      </c>
      <c r="Z243" s="46">
        <f t="shared" si="203"/>
        <v>0.62043749999999998</v>
      </c>
      <c r="AA243" s="46">
        <f t="shared" si="204"/>
        <v>2.4817499999999999</v>
      </c>
      <c r="AB243" s="46">
        <f t="shared" si="205"/>
        <v>2.7574999999999998</v>
      </c>
      <c r="AC243" s="46">
        <f t="shared" si="206"/>
        <v>2.4817499999999999</v>
      </c>
      <c r="AD243" s="15"/>
    </row>
    <row r="244" spans="1:30" x14ac:dyDescent="0.25">
      <c r="A244" s="25" t="s">
        <v>27</v>
      </c>
      <c r="B244" s="32"/>
      <c r="C244" s="26"/>
      <c r="D244" s="27" t="s">
        <v>292</v>
      </c>
      <c r="E244" s="29" t="s">
        <v>89</v>
      </c>
      <c r="F244" s="28" t="s">
        <v>86</v>
      </c>
      <c r="G244" s="45">
        <v>4.2050000000000001</v>
      </c>
      <c r="H244" s="45">
        <v>0.24</v>
      </c>
      <c r="I244" s="45">
        <f t="shared" si="189"/>
        <v>0.25</v>
      </c>
      <c r="J244" s="15"/>
      <c r="K244" s="15"/>
      <c r="L244" s="15"/>
      <c r="M244" s="15"/>
      <c r="N244" s="15">
        <f t="shared" si="198"/>
        <v>4.2050000000000001</v>
      </c>
      <c r="O244" s="15">
        <f t="shared" si="199"/>
        <v>0.24</v>
      </c>
      <c r="P244" s="15"/>
      <c r="Q244" s="15"/>
      <c r="R244" s="15"/>
      <c r="S244" s="15"/>
      <c r="T244" s="45">
        <f t="shared" si="200"/>
        <v>2.6500000000000004</v>
      </c>
      <c r="U244" s="45">
        <f t="shared" si="201"/>
        <v>2.1025</v>
      </c>
      <c r="V244" s="45"/>
      <c r="W244" s="15"/>
      <c r="X244" s="15"/>
      <c r="Y244" s="46">
        <f t="shared" si="202"/>
        <v>1.0091999999999999</v>
      </c>
      <c r="Z244" s="46">
        <f t="shared" si="203"/>
        <v>0.25229999999999997</v>
      </c>
      <c r="AA244" s="46">
        <f t="shared" si="204"/>
        <v>1.0091999999999999</v>
      </c>
      <c r="AB244" s="46">
        <f t="shared" si="205"/>
        <v>2.1025</v>
      </c>
      <c r="AC244" s="46">
        <f t="shared" si="206"/>
        <v>1.0091999999999999</v>
      </c>
      <c r="AD244" s="15"/>
    </row>
    <row r="245" spans="1:30" x14ac:dyDescent="0.25">
      <c r="A245" s="25" t="s">
        <v>27</v>
      </c>
      <c r="B245" s="32"/>
      <c r="C245" s="26"/>
      <c r="D245" s="27" t="s">
        <v>293</v>
      </c>
      <c r="E245" s="29" t="s">
        <v>89</v>
      </c>
      <c r="F245" s="28" t="s">
        <v>86</v>
      </c>
      <c r="G245" s="45">
        <v>11.2</v>
      </c>
      <c r="H245" s="45">
        <v>0.4</v>
      </c>
      <c r="I245" s="45">
        <f>9.55-9.4</f>
        <v>0.15000000000000036</v>
      </c>
      <c r="J245" s="15"/>
      <c r="K245" s="15"/>
      <c r="L245" s="15"/>
      <c r="M245" s="15"/>
      <c r="N245" s="15">
        <f t="shared" si="198"/>
        <v>11.2</v>
      </c>
      <c r="O245" s="15">
        <f t="shared" si="199"/>
        <v>0.4</v>
      </c>
      <c r="P245" s="15"/>
      <c r="Q245" s="15"/>
      <c r="R245" s="15"/>
      <c r="S245" s="15"/>
      <c r="T245" s="45">
        <f t="shared" si="200"/>
        <v>2.75</v>
      </c>
      <c r="U245" s="45">
        <f t="shared" si="201"/>
        <v>3.3600000000000079</v>
      </c>
      <c r="V245" s="45"/>
      <c r="W245" s="15"/>
      <c r="X245" s="15"/>
      <c r="Y245" s="46">
        <f t="shared" si="202"/>
        <v>4.4799999999999995</v>
      </c>
      <c r="Z245" s="46">
        <f t="shared" si="203"/>
        <v>0.67200000000000149</v>
      </c>
      <c r="AA245" s="46">
        <f t="shared" si="204"/>
        <v>4.4799999999999995</v>
      </c>
      <c r="AB245" s="46">
        <f t="shared" si="205"/>
        <v>3.3600000000000079</v>
      </c>
      <c r="AC245" s="46">
        <f t="shared" si="206"/>
        <v>4.4799999999999995</v>
      </c>
      <c r="AD245" s="15"/>
    </row>
    <row r="246" spans="1:30" x14ac:dyDescent="0.25">
      <c r="A246" s="25" t="s">
        <v>27</v>
      </c>
      <c r="B246" s="32"/>
      <c r="C246" s="26"/>
      <c r="D246" s="27" t="s">
        <v>294</v>
      </c>
      <c r="E246" s="29" t="s">
        <v>89</v>
      </c>
      <c r="F246" s="28" t="s">
        <v>86</v>
      </c>
      <c r="G246" s="45">
        <v>8.8000000000000007</v>
      </c>
      <c r="H246" s="45">
        <v>0.4</v>
      </c>
      <c r="I246" s="45">
        <f>9.55-9.4</f>
        <v>0.15000000000000036</v>
      </c>
      <c r="J246" s="15"/>
      <c r="K246" s="15"/>
      <c r="L246" s="15"/>
      <c r="M246" s="15"/>
      <c r="N246" s="15">
        <f t="shared" si="198"/>
        <v>8.8000000000000007</v>
      </c>
      <c r="O246" s="15">
        <f t="shared" si="199"/>
        <v>0.4</v>
      </c>
      <c r="P246" s="15"/>
      <c r="Q246" s="15"/>
      <c r="R246" s="15"/>
      <c r="S246" s="15"/>
      <c r="T246" s="45">
        <f t="shared" si="200"/>
        <v>2.75</v>
      </c>
      <c r="U246" s="45">
        <f t="shared" si="201"/>
        <v>2.6400000000000063</v>
      </c>
      <c r="V246" s="45"/>
      <c r="W246" s="15"/>
      <c r="X246" s="15"/>
      <c r="Y246" s="46">
        <f t="shared" si="202"/>
        <v>3.5200000000000005</v>
      </c>
      <c r="Z246" s="46">
        <f t="shared" si="203"/>
        <v>0.52800000000000136</v>
      </c>
      <c r="AA246" s="46">
        <f t="shared" si="204"/>
        <v>3.5200000000000005</v>
      </c>
      <c r="AB246" s="46">
        <f t="shared" si="205"/>
        <v>2.6400000000000063</v>
      </c>
      <c r="AC246" s="46">
        <f t="shared" si="206"/>
        <v>3.5200000000000005</v>
      </c>
      <c r="AD246" s="15"/>
    </row>
    <row r="247" spans="1:30" x14ac:dyDescent="0.25">
      <c r="A247" s="25" t="s">
        <v>27</v>
      </c>
      <c r="B247" s="32"/>
      <c r="C247" s="26"/>
      <c r="D247" s="27" t="s">
        <v>295</v>
      </c>
      <c r="E247" s="29" t="s">
        <v>89</v>
      </c>
      <c r="F247" s="28" t="s">
        <v>86</v>
      </c>
      <c r="G247" s="45">
        <v>9.5500000000000007</v>
      </c>
      <c r="H247" s="45">
        <v>0.4</v>
      </c>
      <c r="I247" s="45">
        <f>9.55-9.4</f>
        <v>0.15000000000000036</v>
      </c>
      <c r="J247" s="15"/>
      <c r="K247" s="15"/>
      <c r="L247" s="15"/>
      <c r="M247" s="15"/>
      <c r="N247" s="15">
        <f t="shared" si="198"/>
        <v>9.5500000000000007</v>
      </c>
      <c r="O247" s="15">
        <f t="shared" si="199"/>
        <v>0.4</v>
      </c>
      <c r="P247" s="15"/>
      <c r="Q247" s="15"/>
      <c r="R247" s="15"/>
      <c r="S247" s="15"/>
      <c r="T247" s="45">
        <f t="shared" si="200"/>
        <v>2.75</v>
      </c>
      <c r="U247" s="45">
        <f t="shared" si="201"/>
        <v>2.8650000000000069</v>
      </c>
      <c r="V247" s="45"/>
      <c r="W247" s="15"/>
      <c r="X247" s="15"/>
      <c r="Y247" s="46">
        <f t="shared" si="202"/>
        <v>3.8200000000000003</v>
      </c>
      <c r="Z247" s="46">
        <f t="shared" si="203"/>
        <v>0.5730000000000014</v>
      </c>
      <c r="AA247" s="46">
        <f t="shared" si="204"/>
        <v>3.8200000000000003</v>
      </c>
      <c r="AB247" s="46">
        <f t="shared" si="205"/>
        <v>2.8650000000000069</v>
      </c>
      <c r="AC247" s="46">
        <f t="shared" si="206"/>
        <v>3.8200000000000003</v>
      </c>
      <c r="AD247" s="15"/>
    </row>
    <row r="248" spans="1:30" x14ac:dyDescent="0.25">
      <c r="A248" s="25" t="s">
        <v>27</v>
      </c>
      <c r="B248" s="32"/>
      <c r="C248" s="26"/>
      <c r="D248" s="27" t="s">
        <v>296</v>
      </c>
      <c r="E248" s="29" t="s">
        <v>89</v>
      </c>
      <c r="F248" s="28" t="s">
        <v>86</v>
      </c>
      <c r="G248" s="45">
        <v>9.5500000000000007</v>
      </c>
      <c r="H248" s="45">
        <v>0.24</v>
      </c>
      <c r="I248" s="45">
        <f t="shared" si="189"/>
        <v>0.25</v>
      </c>
      <c r="J248" s="15"/>
      <c r="K248" s="15"/>
      <c r="L248" s="15"/>
      <c r="M248" s="15"/>
      <c r="N248" s="15">
        <f t="shared" si="198"/>
        <v>9.5500000000000007</v>
      </c>
      <c r="O248" s="15">
        <f t="shared" si="199"/>
        <v>0.24</v>
      </c>
      <c r="P248" s="15"/>
      <c r="Q248" s="15"/>
      <c r="R248" s="15"/>
      <c r="S248" s="15"/>
      <c r="T248" s="45">
        <f t="shared" si="200"/>
        <v>2.6500000000000004</v>
      </c>
      <c r="U248" s="45">
        <f t="shared" si="201"/>
        <v>4.7750000000000004</v>
      </c>
      <c r="V248" s="45"/>
      <c r="W248" s="15"/>
      <c r="X248" s="15"/>
      <c r="Y248" s="46">
        <f t="shared" si="202"/>
        <v>2.2920000000000003</v>
      </c>
      <c r="Z248" s="46">
        <f t="shared" si="203"/>
        <v>0.57300000000000006</v>
      </c>
      <c r="AA248" s="46">
        <f t="shared" si="204"/>
        <v>2.2920000000000003</v>
      </c>
      <c r="AB248" s="46">
        <f t="shared" si="205"/>
        <v>4.7750000000000004</v>
      </c>
      <c r="AC248" s="46">
        <f t="shared" si="206"/>
        <v>2.2920000000000003</v>
      </c>
      <c r="AD248" s="15"/>
    </row>
    <row r="249" spans="1:30" x14ac:dyDescent="0.25">
      <c r="A249" s="25" t="s">
        <v>27</v>
      </c>
      <c r="B249" s="32"/>
      <c r="C249" s="26"/>
      <c r="D249" s="27" t="s">
        <v>297</v>
      </c>
      <c r="E249" s="29" t="s">
        <v>89</v>
      </c>
      <c r="F249" s="28" t="s">
        <v>86</v>
      </c>
      <c r="G249" s="45">
        <v>6.8</v>
      </c>
      <c r="H249" s="45">
        <v>0.45</v>
      </c>
      <c r="I249" s="45">
        <f t="shared" si="189"/>
        <v>0.25</v>
      </c>
      <c r="J249" s="15"/>
      <c r="K249" s="15"/>
      <c r="L249" s="15"/>
      <c r="M249" s="15"/>
      <c r="N249" s="15">
        <f t="shared" si="198"/>
        <v>6.8</v>
      </c>
      <c r="O249" s="15">
        <f t="shared" si="199"/>
        <v>0.45</v>
      </c>
      <c r="P249" s="15"/>
      <c r="Q249" s="15"/>
      <c r="R249" s="15"/>
      <c r="S249" s="15"/>
      <c r="T249" s="45">
        <f t="shared" si="200"/>
        <v>2.6500000000000004</v>
      </c>
      <c r="U249" s="45">
        <f t="shared" si="201"/>
        <v>3.4</v>
      </c>
      <c r="V249" s="45"/>
      <c r="W249" s="15"/>
      <c r="X249" s="15"/>
      <c r="Y249" s="46">
        <f t="shared" si="202"/>
        <v>3.06</v>
      </c>
      <c r="Z249" s="46">
        <f t="shared" si="203"/>
        <v>0.76500000000000001</v>
      </c>
      <c r="AA249" s="46">
        <f t="shared" si="204"/>
        <v>3.06</v>
      </c>
      <c r="AB249" s="46">
        <f t="shared" si="205"/>
        <v>3.4</v>
      </c>
      <c r="AC249" s="46">
        <f t="shared" si="206"/>
        <v>3.06</v>
      </c>
      <c r="AD249" s="15"/>
    </row>
    <row r="250" spans="1:30" x14ac:dyDescent="0.25">
      <c r="A250" s="25" t="s">
        <v>27</v>
      </c>
      <c r="B250" s="32"/>
      <c r="C250" s="26"/>
      <c r="D250" s="27" t="s">
        <v>298</v>
      </c>
      <c r="E250" s="29" t="s">
        <v>89</v>
      </c>
      <c r="F250" s="28" t="s">
        <v>86</v>
      </c>
      <c r="G250" s="45">
        <v>3.21</v>
      </c>
      <c r="H250" s="45">
        <v>0.24</v>
      </c>
      <c r="I250" s="45">
        <f t="shared" si="189"/>
        <v>0.25</v>
      </c>
      <c r="J250" s="15"/>
      <c r="K250" s="15"/>
      <c r="L250" s="15"/>
      <c r="M250" s="15"/>
      <c r="N250" s="15">
        <f t="shared" si="198"/>
        <v>3.21</v>
      </c>
      <c r="O250" s="15">
        <f t="shared" si="199"/>
        <v>0.24</v>
      </c>
      <c r="P250" s="15"/>
      <c r="Q250" s="15"/>
      <c r="R250" s="15"/>
      <c r="S250" s="15"/>
      <c r="T250" s="45">
        <f t="shared" si="200"/>
        <v>2.6500000000000004</v>
      </c>
      <c r="U250" s="45">
        <f t="shared" si="201"/>
        <v>1.605</v>
      </c>
      <c r="V250" s="45"/>
      <c r="W250" s="15"/>
      <c r="X250" s="15"/>
      <c r="Y250" s="46">
        <f t="shared" si="202"/>
        <v>0.77039999999999997</v>
      </c>
      <c r="Z250" s="46">
        <f t="shared" si="203"/>
        <v>0.19259999999999999</v>
      </c>
      <c r="AA250" s="46">
        <f t="shared" si="204"/>
        <v>0.77039999999999997</v>
      </c>
      <c r="AB250" s="46">
        <f t="shared" si="205"/>
        <v>1.605</v>
      </c>
      <c r="AC250" s="46">
        <f t="shared" si="206"/>
        <v>0.77039999999999997</v>
      </c>
      <c r="AD250" s="15"/>
    </row>
    <row r="251" spans="1:30" x14ac:dyDescent="0.25">
      <c r="A251" s="25" t="s">
        <v>27</v>
      </c>
      <c r="B251" s="32"/>
      <c r="C251" s="26"/>
      <c r="D251" s="27" t="s">
        <v>299</v>
      </c>
      <c r="E251" s="29" t="s">
        <v>358</v>
      </c>
      <c r="F251" s="28" t="s">
        <v>359</v>
      </c>
      <c r="G251" s="45">
        <v>3.07</v>
      </c>
      <c r="H251" s="45">
        <v>0.2</v>
      </c>
      <c r="I251" s="45">
        <f t="shared" si="189"/>
        <v>0.25</v>
      </c>
      <c r="J251" s="15"/>
      <c r="K251" s="15"/>
      <c r="L251" s="15"/>
      <c r="M251" s="15"/>
      <c r="N251" s="15">
        <f t="shared" si="198"/>
        <v>3.07</v>
      </c>
      <c r="O251" s="15">
        <f t="shared" si="199"/>
        <v>0.2</v>
      </c>
      <c r="P251" s="15"/>
      <c r="Q251" s="15"/>
      <c r="R251" s="15"/>
      <c r="S251" s="15"/>
      <c r="T251" s="45">
        <f t="shared" si="200"/>
        <v>2.6500000000000004</v>
      </c>
      <c r="U251" s="45">
        <f t="shared" si="201"/>
        <v>1.5349999999999999</v>
      </c>
      <c r="V251" s="45"/>
      <c r="W251" s="15"/>
      <c r="X251" s="15"/>
      <c r="Y251" s="46">
        <f t="shared" si="202"/>
        <v>0.61399999999999999</v>
      </c>
      <c r="Z251" s="46">
        <f t="shared" si="203"/>
        <v>0.1535</v>
      </c>
      <c r="AA251" s="46">
        <f t="shared" si="204"/>
        <v>0.61399999999999999</v>
      </c>
      <c r="AB251" s="46">
        <f t="shared" si="205"/>
        <v>1.5349999999999999</v>
      </c>
      <c r="AC251" s="46">
        <f t="shared" si="206"/>
        <v>0.61399999999999999</v>
      </c>
      <c r="AD251" s="15"/>
    </row>
    <row r="252" spans="1:30" x14ac:dyDescent="0.25">
      <c r="A252" s="25" t="s">
        <v>27</v>
      </c>
      <c r="B252" s="32"/>
      <c r="C252" s="26"/>
      <c r="D252" s="27" t="s">
        <v>300</v>
      </c>
      <c r="E252" s="29" t="s">
        <v>358</v>
      </c>
      <c r="F252" s="28" t="s">
        <v>359</v>
      </c>
      <c r="G252" s="45">
        <v>2.02</v>
      </c>
      <c r="H252" s="45">
        <v>0.2</v>
      </c>
      <c r="I252" s="45">
        <f t="shared" si="189"/>
        <v>0.25</v>
      </c>
      <c r="J252" s="15"/>
      <c r="K252" s="15"/>
      <c r="L252" s="15"/>
      <c r="M252" s="15"/>
      <c r="N252" s="15">
        <f t="shared" si="198"/>
        <v>2.02</v>
      </c>
      <c r="O252" s="15">
        <f t="shared" si="199"/>
        <v>0.2</v>
      </c>
      <c r="P252" s="15"/>
      <c r="Q252" s="15"/>
      <c r="R252" s="15"/>
      <c r="S252" s="15"/>
      <c r="T252" s="45">
        <f t="shared" si="200"/>
        <v>2.6500000000000004</v>
      </c>
      <c r="U252" s="45">
        <f t="shared" si="201"/>
        <v>1.01</v>
      </c>
      <c r="V252" s="45"/>
      <c r="W252" s="15"/>
      <c r="X252" s="15"/>
      <c r="Y252" s="46">
        <f t="shared" si="202"/>
        <v>0.40400000000000003</v>
      </c>
      <c r="Z252" s="46">
        <f t="shared" si="203"/>
        <v>0.10100000000000001</v>
      </c>
      <c r="AA252" s="46">
        <f t="shared" si="204"/>
        <v>0.40400000000000003</v>
      </c>
      <c r="AB252" s="46">
        <f t="shared" si="205"/>
        <v>1.01</v>
      </c>
      <c r="AC252" s="46">
        <f t="shared" si="206"/>
        <v>0.40400000000000003</v>
      </c>
      <c r="AD252" s="15"/>
    </row>
    <row r="253" spans="1:30" x14ac:dyDescent="0.25">
      <c r="A253" s="25" t="s">
        <v>27</v>
      </c>
      <c r="B253" s="32"/>
      <c r="C253" s="26"/>
      <c r="D253" s="27" t="s">
        <v>301</v>
      </c>
      <c r="E253" s="29" t="s">
        <v>358</v>
      </c>
      <c r="F253" s="28" t="s">
        <v>359</v>
      </c>
      <c r="G253" s="45">
        <v>3.12</v>
      </c>
      <c r="H253" s="45">
        <v>0.2</v>
      </c>
      <c r="I253" s="45">
        <f t="shared" si="189"/>
        <v>0.25</v>
      </c>
      <c r="J253" s="15"/>
      <c r="K253" s="15"/>
      <c r="L253" s="15"/>
      <c r="M253" s="15"/>
      <c r="N253" s="15">
        <f t="shared" si="198"/>
        <v>3.12</v>
      </c>
      <c r="O253" s="15">
        <f t="shared" si="199"/>
        <v>0.2</v>
      </c>
      <c r="P253" s="15"/>
      <c r="Q253" s="15"/>
      <c r="R253" s="15"/>
      <c r="S253" s="15"/>
      <c r="T253" s="45">
        <f t="shared" si="200"/>
        <v>2.6500000000000004</v>
      </c>
      <c r="U253" s="45">
        <f t="shared" si="201"/>
        <v>1.56</v>
      </c>
      <c r="V253" s="45"/>
      <c r="W253" s="15"/>
      <c r="X253" s="15"/>
      <c r="Y253" s="46">
        <f t="shared" si="202"/>
        <v>0.62400000000000011</v>
      </c>
      <c r="Z253" s="46">
        <f t="shared" si="203"/>
        <v>0.15600000000000003</v>
      </c>
      <c r="AA253" s="46">
        <f t="shared" si="204"/>
        <v>0.62400000000000011</v>
      </c>
      <c r="AB253" s="46">
        <f t="shared" si="205"/>
        <v>1.56</v>
      </c>
      <c r="AC253" s="46">
        <f t="shared" si="206"/>
        <v>0.62400000000000011</v>
      </c>
      <c r="AD253" s="15"/>
    </row>
    <row r="254" spans="1:30" x14ac:dyDescent="0.25">
      <c r="A254" s="25" t="s">
        <v>27</v>
      </c>
      <c r="B254" s="32"/>
      <c r="C254" s="26"/>
      <c r="D254" s="27" t="s">
        <v>302</v>
      </c>
      <c r="E254" s="29" t="s">
        <v>358</v>
      </c>
      <c r="F254" s="28" t="s">
        <v>359</v>
      </c>
      <c r="G254" s="45">
        <v>3.07</v>
      </c>
      <c r="H254" s="45">
        <v>0.2</v>
      </c>
      <c r="I254" s="45">
        <f t="shared" si="189"/>
        <v>0.25</v>
      </c>
      <c r="J254" s="15"/>
      <c r="K254" s="15"/>
      <c r="L254" s="15"/>
      <c r="M254" s="15"/>
      <c r="N254" s="15">
        <f t="shared" ref="N254:N258" si="207">G254</f>
        <v>3.07</v>
      </c>
      <c r="O254" s="15">
        <f t="shared" ref="O254:O258" si="208">H254</f>
        <v>0.2</v>
      </c>
      <c r="P254" s="15"/>
      <c r="Q254" s="15"/>
      <c r="R254" s="15"/>
      <c r="S254" s="15"/>
      <c r="T254" s="45">
        <f t="shared" ref="T254:T258" si="209">9.55-I254-6.65</f>
        <v>2.6500000000000004</v>
      </c>
      <c r="U254" s="45">
        <f t="shared" ref="U254:U258" si="210">G254*2*I254</f>
        <v>1.5349999999999999</v>
      </c>
      <c r="V254" s="45"/>
      <c r="W254" s="15"/>
      <c r="X254" s="15"/>
      <c r="Y254" s="46">
        <f t="shared" si="202"/>
        <v>0.61399999999999999</v>
      </c>
      <c r="Z254" s="46">
        <f t="shared" si="203"/>
        <v>0.1535</v>
      </c>
      <c r="AA254" s="46">
        <f t="shared" si="204"/>
        <v>0.61399999999999999</v>
      </c>
      <c r="AB254" s="46">
        <f t="shared" si="205"/>
        <v>1.5349999999999999</v>
      </c>
      <c r="AC254" s="46">
        <f t="shared" si="206"/>
        <v>0.61399999999999999</v>
      </c>
      <c r="AD254" s="15"/>
    </row>
    <row r="255" spans="1:30" x14ac:dyDescent="0.25">
      <c r="A255" s="25" t="s">
        <v>27</v>
      </c>
      <c r="B255" s="32"/>
      <c r="C255" s="26"/>
      <c r="D255" s="27" t="s">
        <v>303</v>
      </c>
      <c r="E255" s="29" t="s">
        <v>358</v>
      </c>
      <c r="F255" s="28" t="s">
        <v>359</v>
      </c>
      <c r="G255" s="45">
        <v>2.02</v>
      </c>
      <c r="H255" s="45">
        <v>0.2</v>
      </c>
      <c r="I255" s="45">
        <f t="shared" si="189"/>
        <v>0.25</v>
      </c>
      <c r="J255" s="15"/>
      <c r="K255" s="15"/>
      <c r="L255" s="15"/>
      <c r="M255" s="15"/>
      <c r="N255" s="15">
        <f t="shared" si="207"/>
        <v>2.02</v>
      </c>
      <c r="O255" s="15">
        <f t="shared" si="208"/>
        <v>0.2</v>
      </c>
      <c r="P255" s="15"/>
      <c r="Q255" s="15"/>
      <c r="R255" s="15"/>
      <c r="S255" s="15"/>
      <c r="T255" s="45">
        <f t="shared" si="209"/>
        <v>2.6500000000000004</v>
      </c>
      <c r="U255" s="45">
        <f t="shared" si="210"/>
        <v>1.01</v>
      </c>
      <c r="V255" s="45"/>
      <c r="W255" s="15"/>
      <c r="X255" s="15"/>
      <c r="Y255" s="46">
        <f t="shared" si="202"/>
        <v>0.40400000000000003</v>
      </c>
      <c r="Z255" s="46">
        <f t="shared" si="203"/>
        <v>0.10100000000000001</v>
      </c>
      <c r="AA255" s="46">
        <f t="shared" si="204"/>
        <v>0.40400000000000003</v>
      </c>
      <c r="AB255" s="46">
        <f t="shared" si="205"/>
        <v>1.01</v>
      </c>
      <c r="AC255" s="46">
        <f t="shared" si="206"/>
        <v>0.40400000000000003</v>
      </c>
      <c r="AD255" s="15"/>
    </row>
    <row r="256" spans="1:30" x14ac:dyDescent="0.25">
      <c r="A256" s="25" t="s">
        <v>27</v>
      </c>
      <c r="B256" s="32"/>
      <c r="C256" s="26"/>
      <c r="D256" s="27" t="s">
        <v>304</v>
      </c>
      <c r="E256" s="29" t="s">
        <v>358</v>
      </c>
      <c r="F256" s="28" t="s">
        <v>359</v>
      </c>
      <c r="G256" s="45">
        <v>0.79</v>
      </c>
      <c r="H256" s="45">
        <v>0.2</v>
      </c>
      <c r="I256" s="45">
        <f t="shared" si="189"/>
        <v>0.25</v>
      </c>
      <c r="J256" s="15"/>
      <c r="K256" s="15"/>
      <c r="L256" s="15"/>
      <c r="M256" s="15"/>
      <c r="N256" s="15">
        <f t="shared" si="207"/>
        <v>0.79</v>
      </c>
      <c r="O256" s="15">
        <f t="shared" si="208"/>
        <v>0.2</v>
      </c>
      <c r="P256" s="15"/>
      <c r="Q256" s="15"/>
      <c r="R256" s="15"/>
      <c r="S256" s="15"/>
      <c r="T256" s="45">
        <f t="shared" si="209"/>
        <v>2.6500000000000004</v>
      </c>
      <c r="U256" s="45">
        <f t="shared" si="210"/>
        <v>0.39500000000000002</v>
      </c>
      <c r="V256" s="45"/>
      <c r="W256" s="15"/>
      <c r="X256" s="15"/>
      <c r="Y256" s="46">
        <f t="shared" si="202"/>
        <v>0.15800000000000003</v>
      </c>
      <c r="Z256" s="46">
        <f t="shared" si="203"/>
        <v>3.9500000000000007E-2</v>
      </c>
      <c r="AA256" s="46">
        <f t="shared" si="204"/>
        <v>0.15800000000000003</v>
      </c>
      <c r="AB256" s="46">
        <f t="shared" si="205"/>
        <v>0.39500000000000002</v>
      </c>
      <c r="AC256" s="46">
        <f t="shared" si="206"/>
        <v>0.15800000000000003</v>
      </c>
      <c r="AD256" s="15"/>
    </row>
    <row r="257" spans="1:30" x14ac:dyDescent="0.25">
      <c r="A257" s="25" t="s">
        <v>27</v>
      </c>
      <c r="B257" s="32"/>
      <c r="C257" s="26"/>
      <c r="D257" s="27" t="s">
        <v>305</v>
      </c>
      <c r="E257" s="29" t="s">
        <v>358</v>
      </c>
      <c r="F257" s="28" t="s">
        <v>359</v>
      </c>
      <c r="G257" s="45">
        <v>1.92</v>
      </c>
      <c r="H257" s="45">
        <v>0.2</v>
      </c>
      <c r="I257" s="45">
        <f t="shared" si="189"/>
        <v>0.25</v>
      </c>
      <c r="J257" s="15"/>
      <c r="K257" s="15"/>
      <c r="L257" s="15"/>
      <c r="M257" s="15"/>
      <c r="N257" s="15">
        <f t="shared" si="207"/>
        <v>1.92</v>
      </c>
      <c r="O257" s="15">
        <f t="shared" si="208"/>
        <v>0.2</v>
      </c>
      <c r="P257" s="15"/>
      <c r="Q257" s="15"/>
      <c r="R257" s="15"/>
      <c r="S257" s="15"/>
      <c r="T257" s="45">
        <f t="shared" si="209"/>
        <v>2.6500000000000004</v>
      </c>
      <c r="U257" s="45">
        <f t="shared" si="210"/>
        <v>0.96</v>
      </c>
      <c r="V257" s="45"/>
      <c r="W257" s="15"/>
      <c r="X257" s="15"/>
      <c r="Y257" s="46">
        <f t="shared" si="202"/>
        <v>0.38400000000000001</v>
      </c>
      <c r="Z257" s="46">
        <f t="shared" si="203"/>
        <v>9.6000000000000002E-2</v>
      </c>
      <c r="AA257" s="46">
        <f t="shared" si="204"/>
        <v>0.38400000000000001</v>
      </c>
      <c r="AB257" s="46">
        <f t="shared" si="205"/>
        <v>0.96</v>
      </c>
      <c r="AC257" s="46">
        <f t="shared" si="206"/>
        <v>0.38400000000000001</v>
      </c>
      <c r="AD257" s="15"/>
    </row>
    <row r="258" spans="1:30" x14ac:dyDescent="0.25">
      <c r="A258" s="25" t="s">
        <v>27</v>
      </c>
      <c r="B258" s="32"/>
      <c r="C258" s="26"/>
      <c r="D258" s="27" t="s">
        <v>306</v>
      </c>
      <c r="E258" s="29" t="s">
        <v>89</v>
      </c>
      <c r="F258" s="28" t="s">
        <v>86</v>
      </c>
      <c r="G258" s="45">
        <v>1.7749999999999999</v>
      </c>
      <c r="H258" s="45">
        <v>0.24</v>
      </c>
      <c r="I258" s="45">
        <f t="shared" si="189"/>
        <v>0.25</v>
      </c>
      <c r="J258" s="15"/>
      <c r="K258" s="15"/>
      <c r="L258" s="15"/>
      <c r="M258" s="15"/>
      <c r="N258" s="15">
        <f t="shared" si="207"/>
        <v>1.7749999999999999</v>
      </c>
      <c r="O258" s="15">
        <f t="shared" si="208"/>
        <v>0.24</v>
      </c>
      <c r="P258" s="15"/>
      <c r="Q258" s="15"/>
      <c r="R258" s="15"/>
      <c r="S258" s="15"/>
      <c r="T258" s="45">
        <f t="shared" si="209"/>
        <v>2.6500000000000004</v>
      </c>
      <c r="U258" s="45">
        <f t="shared" si="210"/>
        <v>0.88749999999999996</v>
      </c>
      <c r="V258" s="45"/>
      <c r="W258" s="15"/>
      <c r="X258" s="15"/>
      <c r="Y258" s="46">
        <f t="shared" si="184"/>
        <v>0.42599999999999999</v>
      </c>
      <c r="Z258" s="46">
        <f t="shared" si="185"/>
        <v>0.1065</v>
      </c>
      <c r="AA258" s="46">
        <f t="shared" si="186"/>
        <v>0.42599999999999999</v>
      </c>
      <c r="AB258" s="46">
        <f t="shared" si="187"/>
        <v>0.88749999999999996</v>
      </c>
      <c r="AC258" s="46">
        <f t="shared" si="188"/>
        <v>0.42599999999999999</v>
      </c>
      <c r="AD258" s="15"/>
    </row>
    <row r="259" spans="1:30" x14ac:dyDescent="0.25">
      <c r="A259" s="25" t="s">
        <v>27</v>
      </c>
      <c r="B259" s="32"/>
      <c r="C259" s="26"/>
      <c r="D259" s="27" t="s">
        <v>307</v>
      </c>
      <c r="E259" s="29" t="s">
        <v>358</v>
      </c>
      <c r="F259" s="28" t="s">
        <v>359</v>
      </c>
      <c r="G259" s="45">
        <v>1.25</v>
      </c>
      <c r="H259" s="45">
        <v>0.19</v>
      </c>
      <c r="I259" s="45">
        <f t="shared" si="189"/>
        <v>0.25</v>
      </c>
      <c r="J259" s="15"/>
      <c r="K259" s="15"/>
      <c r="L259" s="15"/>
      <c r="M259" s="15"/>
      <c r="N259" s="15">
        <f t="shared" ref="N259:N260" si="211">G259</f>
        <v>1.25</v>
      </c>
      <c r="O259" s="15">
        <f t="shared" ref="O259:O260" si="212">H259</f>
        <v>0.19</v>
      </c>
      <c r="P259" s="15"/>
      <c r="Q259" s="15"/>
      <c r="R259" s="15"/>
      <c r="S259" s="15"/>
      <c r="T259" s="45">
        <v>1.9</v>
      </c>
      <c r="U259" s="45">
        <f t="shared" ref="U259:U260" si="213">G259*2*I259</f>
        <v>0.625</v>
      </c>
      <c r="V259" s="45"/>
      <c r="W259" s="15"/>
      <c r="X259" s="15"/>
      <c r="Y259" s="46">
        <f t="shared" ref="Y259" si="214">IF(((G259*H259)+J259-K259+L259)=0,"",((G259*H259)+J259-K259+L259))</f>
        <v>0.23749999999999999</v>
      </c>
      <c r="Z259" s="46">
        <f t="shared" ref="Z259" si="215">IF(PRODUCT(Y259,I259)+M259=0,"",Y259*I259+M259)</f>
        <v>5.9374999999999997E-2</v>
      </c>
      <c r="AA259" s="46">
        <f t="shared" ref="AA259" si="216">IF((N259*O259+P259-Q259-R259+S259)=0,"",(N259*O259+P259-Q259-R259+S259))</f>
        <v>0.23749999999999999</v>
      </c>
      <c r="AB259" s="46">
        <f t="shared" ref="AB259" si="217">IF((U259+V259-W259+X259)=0,"",(U259+V259-W259+X259))</f>
        <v>0.625</v>
      </c>
      <c r="AC259" s="46">
        <f t="shared" ref="AC259" si="218">IF((N259*O259+P259-Q259-R259+S259)=0,"",(N259*O259+P259-Q259-R259+S259))</f>
        <v>0.23749999999999999</v>
      </c>
      <c r="AD259" s="15"/>
    </row>
    <row r="260" spans="1:30" x14ac:dyDescent="0.25">
      <c r="A260" s="25" t="s">
        <v>27</v>
      </c>
      <c r="B260" s="32"/>
      <c r="C260" s="26"/>
      <c r="D260" s="27" t="s">
        <v>308</v>
      </c>
      <c r="E260" s="29" t="s">
        <v>358</v>
      </c>
      <c r="F260" s="28" t="s">
        <v>359</v>
      </c>
      <c r="G260" s="45">
        <v>1.25</v>
      </c>
      <c r="H260" s="45">
        <v>0.19</v>
      </c>
      <c r="I260" s="45">
        <f t="shared" si="189"/>
        <v>0.25</v>
      </c>
      <c r="J260" s="15"/>
      <c r="K260" s="15"/>
      <c r="L260" s="15"/>
      <c r="M260" s="15"/>
      <c r="N260" s="15">
        <f t="shared" si="211"/>
        <v>1.25</v>
      </c>
      <c r="O260" s="15">
        <f t="shared" si="212"/>
        <v>0.19</v>
      </c>
      <c r="P260" s="15"/>
      <c r="Q260" s="15"/>
      <c r="R260" s="15"/>
      <c r="S260" s="15"/>
      <c r="T260" s="45">
        <v>1.9</v>
      </c>
      <c r="U260" s="45">
        <f t="shared" si="213"/>
        <v>0.625</v>
      </c>
      <c r="V260" s="45"/>
      <c r="W260" s="15"/>
      <c r="X260" s="15"/>
      <c r="Y260" s="46">
        <f t="shared" ref="Y260:Y320" si="219">IF(((G260*H260)+J260-K260+L260)=0,"",((G260*H260)+J260-K260+L260))</f>
        <v>0.23749999999999999</v>
      </c>
      <c r="Z260" s="46">
        <f t="shared" ref="Z260:Z320" si="220">IF(PRODUCT(Y260,I260)+M260=0,"",Y260*I260+M260)</f>
        <v>5.9374999999999997E-2</v>
      </c>
      <c r="AA260" s="46">
        <f t="shared" ref="AA260:AA320" si="221">IF((N260*O260+P260-Q260-R260+S260)=0,"",(N260*O260+P260-Q260-R260+S260))</f>
        <v>0.23749999999999999</v>
      </c>
      <c r="AB260" s="46">
        <f t="shared" ref="AB260:AB320" si="222">IF((U260+V260-W260+X260)=0,"",(U260+V260-W260+X260))</f>
        <v>0.625</v>
      </c>
      <c r="AC260" s="46">
        <f t="shared" ref="AC260:AC320" si="223">IF((N260*O260+P260-Q260-R260+S260)=0,"",(N260*O260+P260-Q260-R260+S260))</f>
        <v>0.23749999999999999</v>
      </c>
      <c r="AD260" s="15"/>
    </row>
    <row r="261" spans="1:30" x14ac:dyDescent="0.25">
      <c r="A261" s="25" t="s">
        <v>27</v>
      </c>
      <c r="B261" s="32"/>
      <c r="C261" s="26"/>
      <c r="D261" s="27" t="s">
        <v>309</v>
      </c>
      <c r="E261" s="29" t="s">
        <v>358</v>
      </c>
      <c r="F261" s="28" t="s">
        <v>359</v>
      </c>
      <c r="G261" s="45">
        <f>0.4*2+0.2*3</f>
        <v>1.4000000000000001</v>
      </c>
      <c r="H261" s="45">
        <v>0.24</v>
      </c>
      <c r="I261" s="45">
        <f t="shared" si="189"/>
        <v>0.25</v>
      </c>
      <c r="J261" s="15"/>
      <c r="K261" s="15"/>
      <c r="L261" s="15"/>
      <c r="M261" s="15"/>
      <c r="N261" s="15">
        <f t="shared" ref="N261" si="224">G261</f>
        <v>1.4000000000000001</v>
      </c>
      <c r="O261" s="15">
        <f t="shared" ref="O261" si="225">H261</f>
        <v>0.24</v>
      </c>
      <c r="P261" s="15"/>
      <c r="Q261" s="15"/>
      <c r="R261" s="15"/>
      <c r="S261" s="15"/>
      <c r="T261" s="45">
        <v>1.9</v>
      </c>
      <c r="U261" s="45">
        <f t="shared" ref="U261" si="226">G261*2*I261</f>
        <v>0.70000000000000007</v>
      </c>
      <c r="V261" s="45"/>
      <c r="W261" s="15"/>
      <c r="X261" s="15"/>
      <c r="Y261" s="46">
        <f t="shared" si="219"/>
        <v>0.33600000000000002</v>
      </c>
      <c r="Z261" s="46">
        <f t="shared" si="220"/>
        <v>8.4000000000000005E-2</v>
      </c>
      <c r="AA261" s="46">
        <f t="shared" si="221"/>
        <v>0.33600000000000002</v>
      </c>
      <c r="AB261" s="46">
        <f t="shared" si="222"/>
        <v>0.70000000000000007</v>
      </c>
      <c r="AC261" s="46">
        <f t="shared" si="223"/>
        <v>0.33600000000000002</v>
      </c>
      <c r="AD261" s="15"/>
    </row>
    <row r="262" spans="1:30" x14ac:dyDescent="0.25">
      <c r="A262" s="25" t="s">
        <v>27</v>
      </c>
      <c r="B262" s="32"/>
      <c r="C262" s="26"/>
      <c r="D262" s="27" t="s">
        <v>501</v>
      </c>
      <c r="E262" s="29" t="s">
        <v>311</v>
      </c>
      <c r="F262" s="28" t="s">
        <v>484</v>
      </c>
      <c r="G262" s="45">
        <v>39.85</v>
      </c>
      <c r="H262" s="45">
        <v>0.24</v>
      </c>
      <c r="I262" s="45">
        <f>9.8-9.55</f>
        <v>0.25</v>
      </c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45"/>
      <c r="U262" s="45">
        <f>G262*0.15</f>
        <v>5.9775</v>
      </c>
      <c r="V262" s="45"/>
      <c r="W262" s="15"/>
      <c r="X262" s="15"/>
      <c r="Y262" s="46">
        <f t="shared" si="219"/>
        <v>9.5640000000000001</v>
      </c>
      <c r="Z262" s="46">
        <f t="shared" si="220"/>
        <v>2.391</v>
      </c>
      <c r="AA262" s="46" t="str">
        <f t="shared" si="221"/>
        <v/>
      </c>
      <c r="AB262" s="46">
        <f t="shared" si="222"/>
        <v>5.9775</v>
      </c>
      <c r="AC262" s="46" t="str">
        <f t="shared" si="223"/>
        <v/>
      </c>
      <c r="AD262" s="15"/>
    </row>
    <row r="263" spans="1:30" x14ac:dyDescent="0.25">
      <c r="A263" s="25" t="s">
        <v>27</v>
      </c>
      <c r="B263" s="32"/>
      <c r="C263" s="26"/>
      <c r="D263" s="27" t="s">
        <v>502</v>
      </c>
      <c r="E263" s="29" t="s">
        <v>311</v>
      </c>
      <c r="F263" s="28" t="s">
        <v>484</v>
      </c>
      <c r="G263" s="45">
        <f>19.8-0.24+0.4</f>
        <v>19.96</v>
      </c>
      <c r="H263" s="45">
        <v>0.24</v>
      </c>
      <c r="I263" s="45">
        <f t="shared" ref="I263:I320" si="227">9.8-9.55</f>
        <v>0.25</v>
      </c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45"/>
      <c r="U263" s="45">
        <f>19.8*0.15</f>
        <v>2.97</v>
      </c>
      <c r="V263" s="45"/>
      <c r="W263" s="15"/>
      <c r="X263" s="15"/>
      <c r="Y263" s="46">
        <f t="shared" si="219"/>
        <v>4.7904</v>
      </c>
      <c r="Z263" s="46">
        <f t="shared" si="220"/>
        <v>1.1976</v>
      </c>
      <c r="AA263" s="46" t="str">
        <f t="shared" si="221"/>
        <v/>
      </c>
      <c r="AB263" s="46">
        <f t="shared" si="222"/>
        <v>2.97</v>
      </c>
      <c r="AC263" s="46" t="str">
        <f t="shared" si="223"/>
        <v/>
      </c>
      <c r="AD263" s="15"/>
    </row>
    <row r="264" spans="1:30" x14ac:dyDescent="0.25">
      <c r="A264" s="25" t="s">
        <v>27</v>
      </c>
      <c r="B264" s="32"/>
      <c r="C264" s="26"/>
      <c r="D264" s="27" t="s">
        <v>503</v>
      </c>
      <c r="E264" s="29" t="s">
        <v>311</v>
      </c>
      <c r="F264" s="28" t="s">
        <v>484</v>
      </c>
      <c r="G264" s="45">
        <v>9.5500000000000007</v>
      </c>
      <c r="H264" s="45">
        <v>0.4</v>
      </c>
      <c r="I264" s="45">
        <f t="shared" si="227"/>
        <v>0.25</v>
      </c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45"/>
      <c r="U264" s="45">
        <f t="shared" ref="U264:U270" si="228">G264*0.15</f>
        <v>1.4325000000000001</v>
      </c>
      <c r="V264" s="45"/>
      <c r="W264" s="15"/>
      <c r="X264" s="15"/>
      <c r="Y264" s="46">
        <f t="shared" si="219"/>
        <v>3.8200000000000003</v>
      </c>
      <c r="Z264" s="46">
        <f t="shared" si="220"/>
        <v>0.95500000000000007</v>
      </c>
      <c r="AA264" s="46" t="str">
        <f t="shared" si="221"/>
        <v/>
      </c>
      <c r="AB264" s="46">
        <f t="shared" si="222"/>
        <v>1.4325000000000001</v>
      </c>
      <c r="AC264" s="46" t="str">
        <f t="shared" si="223"/>
        <v/>
      </c>
      <c r="AD264" s="15"/>
    </row>
    <row r="265" spans="1:30" x14ac:dyDescent="0.25">
      <c r="A265" s="25" t="s">
        <v>27</v>
      </c>
      <c r="B265" s="32"/>
      <c r="C265" s="26"/>
      <c r="D265" s="27" t="s">
        <v>504</v>
      </c>
      <c r="E265" s="29" t="s">
        <v>311</v>
      </c>
      <c r="F265" s="28" t="s">
        <v>484</v>
      </c>
      <c r="G265" s="45">
        <f>29.4-9.55</f>
        <v>19.849999999999998</v>
      </c>
      <c r="H265" s="45">
        <v>0.24</v>
      </c>
      <c r="I265" s="45">
        <f t="shared" si="227"/>
        <v>0.25</v>
      </c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45"/>
      <c r="U265" s="45">
        <f>(G265+0.24*2)*0.15</f>
        <v>3.0494999999999997</v>
      </c>
      <c r="V265" s="45"/>
      <c r="W265" s="15"/>
      <c r="X265" s="15"/>
      <c r="Y265" s="46">
        <f t="shared" si="219"/>
        <v>4.7639999999999993</v>
      </c>
      <c r="Z265" s="46">
        <f t="shared" si="220"/>
        <v>1.1909999999999998</v>
      </c>
      <c r="AA265" s="46" t="str">
        <f t="shared" si="221"/>
        <v/>
      </c>
      <c r="AB265" s="46">
        <f t="shared" si="222"/>
        <v>3.0494999999999997</v>
      </c>
      <c r="AC265" s="46" t="str">
        <f t="shared" si="223"/>
        <v/>
      </c>
      <c r="AD265" s="15"/>
    </row>
    <row r="266" spans="1:30" x14ac:dyDescent="0.25">
      <c r="A266" s="25" t="s">
        <v>27</v>
      </c>
      <c r="B266" s="32"/>
      <c r="C266" s="26"/>
      <c r="D266" s="27" t="s">
        <v>505</v>
      </c>
      <c r="E266" s="29" t="s">
        <v>311</v>
      </c>
      <c r="F266" s="28" t="s">
        <v>484</v>
      </c>
      <c r="G266" s="45">
        <f>27.4-0.24*2</f>
        <v>26.919999999999998</v>
      </c>
      <c r="H266" s="45">
        <v>0.24</v>
      </c>
      <c r="I266" s="45">
        <f t="shared" si="227"/>
        <v>0.25</v>
      </c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45"/>
      <c r="U266" s="45">
        <f>27.4*0.15</f>
        <v>4.1099999999999994</v>
      </c>
      <c r="V266" s="45"/>
      <c r="W266" s="15"/>
      <c r="X266" s="15"/>
      <c r="Y266" s="46">
        <f t="shared" si="219"/>
        <v>6.460799999999999</v>
      </c>
      <c r="Z266" s="46">
        <f t="shared" si="220"/>
        <v>1.6151999999999997</v>
      </c>
      <c r="AA266" s="46" t="str">
        <f t="shared" si="221"/>
        <v/>
      </c>
      <c r="AB266" s="46">
        <f t="shared" si="222"/>
        <v>4.1099999999999994</v>
      </c>
      <c r="AC266" s="46" t="str">
        <f t="shared" si="223"/>
        <v/>
      </c>
      <c r="AD266" s="15"/>
    </row>
    <row r="267" spans="1:30" x14ac:dyDescent="0.25">
      <c r="A267" s="25" t="s">
        <v>27</v>
      </c>
      <c r="B267" s="32"/>
      <c r="C267" s="26"/>
      <c r="D267" s="27" t="s">
        <v>506</v>
      </c>
      <c r="E267" s="29" t="s">
        <v>311</v>
      </c>
      <c r="F267" s="28" t="s">
        <v>484</v>
      </c>
      <c r="G267" s="45">
        <v>39.700000000000003</v>
      </c>
      <c r="H267" s="45">
        <v>0.24</v>
      </c>
      <c r="I267" s="45">
        <f t="shared" si="227"/>
        <v>0.25</v>
      </c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45"/>
      <c r="U267" s="45">
        <f t="shared" si="228"/>
        <v>5.9550000000000001</v>
      </c>
      <c r="V267" s="45"/>
      <c r="W267" s="15"/>
      <c r="X267" s="15"/>
      <c r="Y267" s="46">
        <f t="shared" si="219"/>
        <v>9.5280000000000005</v>
      </c>
      <c r="Z267" s="46">
        <f t="shared" si="220"/>
        <v>2.3820000000000001</v>
      </c>
      <c r="AA267" s="46" t="str">
        <f t="shared" si="221"/>
        <v/>
      </c>
      <c r="AB267" s="46">
        <f t="shared" si="222"/>
        <v>5.9550000000000001</v>
      </c>
      <c r="AC267" s="46" t="str">
        <f t="shared" si="223"/>
        <v/>
      </c>
      <c r="AD267" s="15"/>
    </row>
    <row r="268" spans="1:30" x14ac:dyDescent="0.25">
      <c r="A268" s="25" t="s">
        <v>27</v>
      </c>
      <c r="B268" s="32"/>
      <c r="C268" s="26"/>
      <c r="D268" s="27" t="s">
        <v>507</v>
      </c>
      <c r="E268" s="29" t="s">
        <v>311</v>
      </c>
      <c r="F268" s="28" t="s">
        <v>484</v>
      </c>
      <c r="G268" s="45">
        <f>19.24-0.24*2-8.8</f>
        <v>9.9599999999999973</v>
      </c>
      <c r="H268" s="45">
        <v>0.24</v>
      </c>
      <c r="I268" s="45">
        <f t="shared" si="227"/>
        <v>0.25</v>
      </c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45"/>
      <c r="U268" s="45">
        <f t="shared" si="228"/>
        <v>1.4939999999999996</v>
      </c>
      <c r="V268" s="45"/>
      <c r="W268" s="15"/>
      <c r="X268" s="15"/>
      <c r="Y268" s="46">
        <f t="shared" si="219"/>
        <v>2.3903999999999992</v>
      </c>
      <c r="Z268" s="46">
        <f t="shared" si="220"/>
        <v>0.5975999999999998</v>
      </c>
      <c r="AA268" s="46" t="str">
        <f t="shared" si="221"/>
        <v/>
      </c>
      <c r="AB268" s="46">
        <f t="shared" si="222"/>
        <v>1.4939999999999996</v>
      </c>
      <c r="AC268" s="46" t="str">
        <f t="shared" si="223"/>
        <v/>
      </c>
      <c r="AD268" s="15"/>
    </row>
    <row r="269" spans="1:30" x14ac:dyDescent="0.25">
      <c r="A269" s="25" t="s">
        <v>27</v>
      </c>
      <c r="B269" s="32"/>
      <c r="C269" s="26"/>
      <c r="D269" s="27" t="s">
        <v>508</v>
      </c>
      <c r="E269" s="29" t="s">
        <v>311</v>
      </c>
      <c r="F269" s="28" t="s">
        <v>484</v>
      </c>
      <c r="G269" s="45">
        <v>8.8000000000000007</v>
      </c>
      <c r="H269" s="45">
        <v>0.4</v>
      </c>
      <c r="I269" s="45">
        <f t="shared" si="227"/>
        <v>0.25</v>
      </c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45"/>
      <c r="U269" s="45">
        <f t="shared" si="228"/>
        <v>1.32</v>
      </c>
      <c r="V269" s="45"/>
      <c r="W269" s="15"/>
      <c r="X269" s="15"/>
      <c r="Y269" s="46">
        <f t="shared" si="219"/>
        <v>3.5200000000000005</v>
      </c>
      <c r="Z269" s="46">
        <f t="shared" si="220"/>
        <v>0.88000000000000012</v>
      </c>
      <c r="AA269" s="46" t="str">
        <f t="shared" si="221"/>
        <v/>
      </c>
      <c r="AB269" s="46">
        <f t="shared" si="222"/>
        <v>1.32</v>
      </c>
      <c r="AC269" s="46" t="str">
        <f t="shared" si="223"/>
        <v/>
      </c>
      <c r="AD269" s="15"/>
    </row>
    <row r="270" spans="1:30" x14ac:dyDescent="0.25">
      <c r="A270" s="25" t="s">
        <v>27</v>
      </c>
      <c r="B270" s="32"/>
      <c r="C270" s="26"/>
      <c r="D270" s="27" t="s">
        <v>509</v>
      </c>
      <c r="E270" s="29" t="s">
        <v>311</v>
      </c>
      <c r="F270" s="28" t="s">
        <v>484</v>
      </c>
      <c r="G270" s="45">
        <f>6.95+0.4</f>
        <v>7.3500000000000005</v>
      </c>
      <c r="H270" s="45">
        <v>0.24</v>
      </c>
      <c r="I270" s="45">
        <f t="shared" si="227"/>
        <v>0.25</v>
      </c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45"/>
      <c r="U270" s="45">
        <f t="shared" si="228"/>
        <v>1.1025</v>
      </c>
      <c r="V270" s="45"/>
      <c r="W270" s="15"/>
      <c r="X270" s="15"/>
      <c r="Y270" s="46">
        <f t="shared" si="219"/>
        <v>1.764</v>
      </c>
      <c r="Z270" s="46">
        <f t="shared" si="220"/>
        <v>0.441</v>
      </c>
      <c r="AA270" s="46" t="str">
        <f t="shared" si="221"/>
        <v/>
      </c>
      <c r="AB270" s="46">
        <f t="shared" si="222"/>
        <v>1.1025</v>
      </c>
      <c r="AC270" s="46" t="str">
        <f t="shared" si="223"/>
        <v/>
      </c>
      <c r="AD270" s="15"/>
    </row>
    <row r="271" spans="1:30" x14ac:dyDescent="0.25">
      <c r="A271" s="25" t="s">
        <v>27</v>
      </c>
      <c r="B271" s="32"/>
      <c r="C271" s="26"/>
      <c r="D271" s="27" t="s">
        <v>510</v>
      </c>
      <c r="E271" s="29" t="s">
        <v>311</v>
      </c>
      <c r="F271" s="28" t="s">
        <v>484</v>
      </c>
      <c r="G271" s="45">
        <v>11.2</v>
      </c>
      <c r="H271" s="45">
        <v>0.4</v>
      </c>
      <c r="I271" s="45">
        <f t="shared" si="227"/>
        <v>0.25</v>
      </c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45"/>
      <c r="U271" s="45">
        <f t="shared" ref="U271:U272" si="229">G271*0.15</f>
        <v>1.68</v>
      </c>
      <c r="V271" s="45"/>
      <c r="W271" s="15"/>
      <c r="X271" s="15"/>
      <c r="Y271" s="46">
        <f t="shared" si="219"/>
        <v>4.4799999999999995</v>
      </c>
      <c r="Z271" s="46">
        <f t="shared" si="220"/>
        <v>1.1199999999999999</v>
      </c>
      <c r="AA271" s="46" t="str">
        <f t="shared" si="221"/>
        <v/>
      </c>
      <c r="AB271" s="46">
        <f t="shared" si="222"/>
        <v>1.68</v>
      </c>
      <c r="AC271" s="46" t="str">
        <f t="shared" si="223"/>
        <v/>
      </c>
      <c r="AD271" s="15"/>
    </row>
    <row r="272" spans="1:30" x14ac:dyDescent="0.25">
      <c r="A272" s="25" t="s">
        <v>27</v>
      </c>
      <c r="B272" s="32"/>
      <c r="C272" s="26"/>
      <c r="D272" s="27" t="s">
        <v>511</v>
      </c>
      <c r="E272" s="29" t="s">
        <v>311</v>
      </c>
      <c r="F272" s="28" t="s">
        <v>484</v>
      </c>
      <c r="G272" s="45">
        <v>11.4</v>
      </c>
      <c r="H272" s="45">
        <v>0.24</v>
      </c>
      <c r="I272" s="45">
        <f t="shared" si="227"/>
        <v>0.25</v>
      </c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45"/>
      <c r="U272" s="45">
        <f t="shared" si="229"/>
        <v>1.71</v>
      </c>
      <c r="V272" s="45"/>
      <c r="W272" s="15"/>
      <c r="X272" s="15"/>
      <c r="Y272" s="46">
        <f t="shared" si="219"/>
        <v>2.7359999999999998</v>
      </c>
      <c r="Z272" s="46">
        <f t="shared" si="220"/>
        <v>0.68399999999999994</v>
      </c>
      <c r="AA272" s="46" t="str">
        <f t="shared" si="221"/>
        <v/>
      </c>
      <c r="AB272" s="46">
        <f t="shared" si="222"/>
        <v>1.71</v>
      </c>
      <c r="AC272" s="46" t="str">
        <f t="shared" si="223"/>
        <v/>
      </c>
      <c r="AD272" s="15"/>
    </row>
    <row r="273" spans="1:30" x14ac:dyDescent="0.25">
      <c r="A273" s="25" t="s">
        <v>27</v>
      </c>
      <c r="B273" s="32"/>
      <c r="C273" s="26"/>
      <c r="D273" s="27" t="s">
        <v>512</v>
      </c>
      <c r="E273" s="29" t="s">
        <v>311</v>
      </c>
      <c r="F273" s="28" t="s">
        <v>484</v>
      </c>
      <c r="G273" s="45">
        <f>28.2-0.24*2</f>
        <v>27.72</v>
      </c>
      <c r="H273" s="45">
        <v>0.24</v>
      </c>
      <c r="I273" s="45">
        <f t="shared" si="227"/>
        <v>0.25</v>
      </c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45"/>
      <c r="U273" s="45">
        <f>28.2*0.15</f>
        <v>4.2299999999999995</v>
      </c>
      <c r="V273" s="45"/>
      <c r="W273" s="15"/>
      <c r="X273" s="15"/>
      <c r="Y273" s="46">
        <f t="shared" si="219"/>
        <v>6.6527999999999992</v>
      </c>
      <c r="Z273" s="46">
        <f t="shared" si="220"/>
        <v>1.6631999999999998</v>
      </c>
      <c r="AA273" s="46" t="str">
        <f t="shared" si="221"/>
        <v/>
      </c>
      <c r="AB273" s="46">
        <f t="shared" si="222"/>
        <v>4.2299999999999995</v>
      </c>
      <c r="AC273" s="46" t="str">
        <f t="shared" si="223"/>
        <v/>
      </c>
      <c r="AD273" s="15"/>
    </row>
    <row r="274" spans="1:30" x14ac:dyDescent="0.25">
      <c r="A274" s="25" t="s">
        <v>27</v>
      </c>
      <c r="B274" s="32"/>
      <c r="C274" s="26"/>
      <c r="D274" s="27" t="s">
        <v>513</v>
      </c>
      <c r="E274" s="29" t="s">
        <v>311</v>
      </c>
      <c r="F274" s="28" t="s">
        <v>500</v>
      </c>
      <c r="G274" s="45">
        <v>21.155000000000001</v>
      </c>
      <c r="H274" s="45">
        <v>0.24</v>
      </c>
      <c r="I274" s="45">
        <f t="shared" si="227"/>
        <v>0.25</v>
      </c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45"/>
      <c r="U274" s="45"/>
      <c r="V274" s="45"/>
      <c r="W274" s="15"/>
      <c r="X274" s="15"/>
      <c r="Y274" s="46">
        <f t="shared" si="219"/>
        <v>5.0772000000000004</v>
      </c>
      <c r="Z274" s="46">
        <f t="shared" si="220"/>
        <v>1.2693000000000001</v>
      </c>
      <c r="AA274" s="46" t="str">
        <f t="shared" si="221"/>
        <v/>
      </c>
      <c r="AB274" s="46" t="str">
        <f t="shared" si="222"/>
        <v/>
      </c>
      <c r="AC274" s="46" t="str">
        <f t="shared" si="223"/>
        <v/>
      </c>
      <c r="AD274" s="15"/>
    </row>
    <row r="275" spans="1:30" x14ac:dyDescent="0.25">
      <c r="A275" s="25" t="s">
        <v>27</v>
      </c>
      <c r="B275" s="32"/>
      <c r="C275" s="26"/>
      <c r="D275" s="27" t="s">
        <v>514</v>
      </c>
      <c r="E275" s="29" t="s">
        <v>311</v>
      </c>
      <c r="F275" s="28" t="s">
        <v>500</v>
      </c>
      <c r="G275" s="45">
        <v>3.76</v>
      </c>
      <c r="H275" s="45">
        <v>0.24</v>
      </c>
      <c r="I275" s="45">
        <f t="shared" si="227"/>
        <v>0.25</v>
      </c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45"/>
      <c r="U275" s="45"/>
      <c r="V275" s="45"/>
      <c r="W275" s="15"/>
      <c r="X275" s="15"/>
      <c r="Y275" s="46">
        <f t="shared" si="219"/>
        <v>0.90239999999999987</v>
      </c>
      <c r="Z275" s="46">
        <f t="shared" si="220"/>
        <v>0.22559999999999997</v>
      </c>
      <c r="AA275" s="46" t="str">
        <f t="shared" si="221"/>
        <v/>
      </c>
      <c r="AB275" s="46" t="str">
        <f t="shared" si="222"/>
        <v/>
      </c>
      <c r="AC275" s="46" t="str">
        <f t="shared" si="223"/>
        <v/>
      </c>
      <c r="AD275" s="15"/>
    </row>
    <row r="276" spans="1:30" x14ac:dyDescent="0.25">
      <c r="A276" s="25" t="s">
        <v>27</v>
      </c>
      <c r="B276" s="32"/>
      <c r="C276" s="26"/>
      <c r="D276" s="27" t="s">
        <v>515</v>
      </c>
      <c r="E276" s="29" t="s">
        <v>311</v>
      </c>
      <c r="F276" s="28" t="s">
        <v>500</v>
      </c>
      <c r="G276" s="45">
        <f>5.74*2+2.42</f>
        <v>13.9</v>
      </c>
      <c r="H276" s="45">
        <v>0.19</v>
      </c>
      <c r="I276" s="45">
        <f t="shared" si="227"/>
        <v>0.25</v>
      </c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45"/>
      <c r="U276" s="45">
        <f>((5.74-0.24*2)*2+2.42)*0.25</f>
        <v>3.2349999999999999</v>
      </c>
      <c r="V276" s="45"/>
      <c r="W276" s="15"/>
      <c r="X276" s="15"/>
      <c r="Y276" s="46">
        <f t="shared" si="219"/>
        <v>2.641</v>
      </c>
      <c r="Z276" s="46">
        <f t="shared" si="220"/>
        <v>0.66025</v>
      </c>
      <c r="AA276" s="46" t="str">
        <f t="shared" si="221"/>
        <v/>
      </c>
      <c r="AB276" s="46">
        <f t="shared" si="222"/>
        <v>3.2349999999999999</v>
      </c>
      <c r="AC276" s="46" t="str">
        <f t="shared" si="223"/>
        <v/>
      </c>
      <c r="AD276" s="15"/>
    </row>
    <row r="277" spans="1:30" x14ac:dyDescent="0.25">
      <c r="A277" s="25" t="s">
        <v>27</v>
      </c>
      <c r="B277" s="32"/>
      <c r="C277" s="26"/>
      <c r="D277" s="27" t="s">
        <v>516</v>
      </c>
      <c r="E277" s="29" t="s">
        <v>311</v>
      </c>
      <c r="F277" s="28" t="s">
        <v>500</v>
      </c>
      <c r="G277" s="45">
        <v>2.42</v>
      </c>
      <c r="H277" s="45">
        <v>0.24</v>
      </c>
      <c r="I277" s="45">
        <f t="shared" si="227"/>
        <v>0.25</v>
      </c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45"/>
      <c r="U277" s="45">
        <f>2.42*0.25</f>
        <v>0.60499999999999998</v>
      </c>
      <c r="V277" s="45"/>
      <c r="W277" s="15"/>
      <c r="X277" s="15"/>
      <c r="Y277" s="46">
        <f t="shared" si="219"/>
        <v>0.58079999999999998</v>
      </c>
      <c r="Z277" s="46">
        <f t="shared" si="220"/>
        <v>0.1452</v>
      </c>
      <c r="AA277" s="46" t="str">
        <f t="shared" si="221"/>
        <v/>
      </c>
      <c r="AB277" s="46">
        <f t="shared" si="222"/>
        <v>0.60499999999999998</v>
      </c>
      <c r="AC277" s="46" t="str">
        <f t="shared" si="223"/>
        <v/>
      </c>
      <c r="AD277" s="15"/>
    </row>
    <row r="278" spans="1:30" x14ac:dyDescent="0.25">
      <c r="A278" s="25" t="s">
        <v>27</v>
      </c>
      <c r="B278" s="32"/>
      <c r="C278" s="26"/>
      <c r="D278" s="27" t="s">
        <v>517</v>
      </c>
      <c r="E278" s="29" t="s">
        <v>311</v>
      </c>
      <c r="F278" s="28" t="s">
        <v>500</v>
      </c>
      <c r="G278" s="45">
        <v>31.47</v>
      </c>
      <c r="H278" s="45">
        <v>0.24</v>
      </c>
      <c r="I278" s="45">
        <f t="shared" si="227"/>
        <v>0.25</v>
      </c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45"/>
      <c r="U278" s="45"/>
      <c r="V278" s="45"/>
      <c r="W278" s="15"/>
      <c r="X278" s="15"/>
      <c r="Y278" s="46">
        <f t="shared" si="219"/>
        <v>7.5527999999999995</v>
      </c>
      <c r="Z278" s="46">
        <f t="shared" si="220"/>
        <v>1.8881999999999999</v>
      </c>
      <c r="AA278" s="46" t="str">
        <f t="shared" si="221"/>
        <v/>
      </c>
      <c r="AB278" s="46" t="str">
        <f t="shared" si="222"/>
        <v/>
      </c>
      <c r="AC278" s="46" t="str">
        <f t="shared" si="223"/>
        <v/>
      </c>
      <c r="AD278" s="15"/>
    </row>
    <row r="279" spans="1:30" x14ac:dyDescent="0.25">
      <c r="A279" s="25" t="s">
        <v>27</v>
      </c>
      <c r="B279" s="32"/>
      <c r="C279" s="26"/>
      <c r="D279" s="27" t="s">
        <v>518</v>
      </c>
      <c r="E279" s="29" t="s">
        <v>311</v>
      </c>
      <c r="F279" s="28" t="s">
        <v>500</v>
      </c>
      <c r="G279" s="45">
        <v>4.4649999999999999</v>
      </c>
      <c r="H279" s="45">
        <v>0.24</v>
      </c>
      <c r="I279" s="45">
        <f t="shared" si="227"/>
        <v>0.25</v>
      </c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45"/>
      <c r="U279" s="45"/>
      <c r="V279" s="45"/>
      <c r="W279" s="15"/>
      <c r="X279" s="15"/>
      <c r="Y279" s="46">
        <f t="shared" si="219"/>
        <v>1.0715999999999999</v>
      </c>
      <c r="Z279" s="46">
        <f t="shared" si="220"/>
        <v>0.26789999999999997</v>
      </c>
      <c r="AA279" s="46" t="str">
        <f t="shared" si="221"/>
        <v/>
      </c>
      <c r="AB279" s="46" t="str">
        <f t="shared" si="222"/>
        <v/>
      </c>
      <c r="AC279" s="46" t="str">
        <f t="shared" si="223"/>
        <v/>
      </c>
      <c r="AD279" s="15"/>
    </row>
    <row r="280" spans="1:30" x14ac:dyDescent="0.25">
      <c r="A280" s="25" t="s">
        <v>27</v>
      </c>
      <c r="B280" s="32"/>
      <c r="C280" s="26"/>
      <c r="D280" s="27" t="s">
        <v>519</v>
      </c>
      <c r="E280" s="29" t="s">
        <v>311</v>
      </c>
      <c r="F280" s="28" t="s">
        <v>500</v>
      </c>
      <c r="G280" s="45">
        <f>11.3+0.2*2</f>
        <v>11.700000000000001</v>
      </c>
      <c r="H280" s="45">
        <v>0.2</v>
      </c>
      <c r="I280" s="45">
        <f t="shared" si="227"/>
        <v>0.25</v>
      </c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45"/>
      <c r="U280" s="45">
        <f>11.3*0.25</f>
        <v>2.8250000000000002</v>
      </c>
      <c r="V280" s="45"/>
      <c r="W280" s="15"/>
      <c r="X280" s="15"/>
      <c r="Y280" s="46">
        <f t="shared" si="219"/>
        <v>2.3400000000000003</v>
      </c>
      <c r="Z280" s="46">
        <f t="shared" si="220"/>
        <v>0.58500000000000008</v>
      </c>
      <c r="AA280" s="46" t="str">
        <f t="shared" si="221"/>
        <v/>
      </c>
      <c r="AB280" s="46">
        <f t="shared" si="222"/>
        <v>2.8250000000000002</v>
      </c>
      <c r="AC280" s="46" t="str">
        <f t="shared" si="223"/>
        <v/>
      </c>
      <c r="AD280" s="15"/>
    </row>
    <row r="281" spans="1:30" x14ac:dyDescent="0.25">
      <c r="A281" s="25" t="s">
        <v>27</v>
      </c>
      <c r="B281" s="32"/>
      <c r="C281" s="26"/>
      <c r="D281" s="27" t="s">
        <v>520</v>
      </c>
      <c r="E281" s="29" t="s">
        <v>311</v>
      </c>
      <c r="F281" s="28" t="s">
        <v>500</v>
      </c>
      <c r="G281" s="45">
        <v>6.7</v>
      </c>
      <c r="H281" s="45">
        <v>0.2</v>
      </c>
      <c r="I281" s="45">
        <f t="shared" si="227"/>
        <v>0.25</v>
      </c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45"/>
      <c r="U281" s="45">
        <f>6.7*0.25</f>
        <v>1.675</v>
      </c>
      <c r="V281" s="45"/>
      <c r="W281" s="15"/>
      <c r="X281" s="15"/>
      <c r="Y281" s="46">
        <f t="shared" si="219"/>
        <v>1.34</v>
      </c>
      <c r="Z281" s="46">
        <f t="shared" si="220"/>
        <v>0.33500000000000002</v>
      </c>
      <c r="AA281" s="46" t="str">
        <f t="shared" si="221"/>
        <v/>
      </c>
      <c r="AB281" s="46">
        <f t="shared" si="222"/>
        <v>1.675</v>
      </c>
      <c r="AC281" s="46" t="str">
        <f t="shared" si="223"/>
        <v/>
      </c>
      <c r="AD281" s="15"/>
    </row>
    <row r="282" spans="1:30" x14ac:dyDescent="0.25">
      <c r="A282" s="25" t="s">
        <v>27</v>
      </c>
      <c r="B282" s="32"/>
      <c r="C282" s="26"/>
      <c r="D282" s="27" t="s">
        <v>521</v>
      </c>
      <c r="E282" s="29" t="s">
        <v>311</v>
      </c>
      <c r="F282" s="28" t="s">
        <v>500</v>
      </c>
      <c r="G282" s="45">
        <f>11.3+0.2*2</f>
        <v>11.700000000000001</v>
      </c>
      <c r="H282" s="45">
        <v>0.2</v>
      </c>
      <c r="I282" s="45">
        <f t="shared" si="227"/>
        <v>0.25</v>
      </c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45"/>
      <c r="U282" s="45">
        <f>11.3*0.25</f>
        <v>2.8250000000000002</v>
      </c>
      <c r="V282" s="45"/>
      <c r="W282" s="15"/>
      <c r="X282" s="15"/>
      <c r="Y282" s="46">
        <f t="shared" si="219"/>
        <v>2.3400000000000003</v>
      </c>
      <c r="Z282" s="46">
        <f t="shared" si="220"/>
        <v>0.58500000000000008</v>
      </c>
      <c r="AA282" s="46" t="str">
        <f t="shared" si="221"/>
        <v/>
      </c>
      <c r="AB282" s="46">
        <f t="shared" si="222"/>
        <v>2.8250000000000002</v>
      </c>
      <c r="AC282" s="46" t="str">
        <f t="shared" si="223"/>
        <v/>
      </c>
      <c r="AD282" s="15"/>
    </row>
    <row r="283" spans="1:30" x14ac:dyDescent="0.25">
      <c r="A283" s="25" t="s">
        <v>27</v>
      </c>
      <c r="B283" s="32"/>
      <c r="C283" s="26"/>
      <c r="D283" s="27" t="s">
        <v>522</v>
      </c>
      <c r="E283" s="29" t="s">
        <v>311</v>
      </c>
      <c r="F283" s="28" t="s">
        <v>500</v>
      </c>
      <c r="G283" s="45">
        <v>6.7</v>
      </c>
      <c r="H283" s="45">
        <v>0.2</v>
      </c>
      <c r="I283" s="45">
        <f t="shared" si="227"/>
        <v>0.25</v>
      </c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45"/>
      <c r="U283" s="45">
        <f>6.7*0.25</f>
        <v>1.675</v>
      </c>
      <c r="V283" s="45"/>
      <c r="W283" s="15"/>
      <c r="X283" s="15"/>
      <c r="Y283" s="46">
        <f t="shared" si="219"/>
        <v>1.34</v>
      </c>
      <c r="Z283" s="46">
        <f t="shared" si="220"/>
        <v>0.33500000000000002</v>
      </c>
      <c r="AA283" s="46" t="str">
        <f t="shared" si="221"/>
        <v/>
      </c>
      <c r="AB283" s="46">
        <f t="shared" si="222"/>
        <v>1.675</v>
      </c>
      <c r="AC283" s="46" t="str">
        <f t="shared" si="223"/>
        <v/>
      </c>
      <c r="AD283" s="15"/>
    </row>
    <row r="284" spans="1:30" x14ac:dyDescent="0.25">
      <c r="A284" s="25" t="s">
        <v>27</v>
      </c>
      <c r="B284" s="32"/>
      <c r="C284" s="26"/>
      <c r="D284" s="27" t="s">
        <v>523</v>
      </c>
      <c r="E284" s="29" t="s">
        <v>311</v>
      </c>
      <c r="F284" s="28" t="s">
        <v>500</v>
      </c>
      <c r="G284" s="45">
        <v>11.46</v>
      </c>
      <c r="H284" s="45">
        <v>0.2</v>
      </c>
      <c r="I284" s="45">
        <f t="shared" si="227"/>
        <v>0.25</v>
      </c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45"/>
      <c r="U284" s="45"/>
      <c r="V284" s="45"/>
      <c r="W284" s="15"/>
      <c r="X284" s="15"/>
      <c r="Y284" s="46">
        <f t="shared" si="219"/>
        <v>2.2920000000000003</v>
      </c>
      <c r="Z284" s="46">
        <f t="shared" si="220"/>
        <v>0.57300000000000006</v>
      </c>
      <c r="AA284" s="46" t="str">
        <f t="shared" si="221"/>
        <v/>
      </c>
      <c r="AB284" s="46" t="str">
        <f t="shared" si="222"/>
        <v/>
      </c>
      <c r="AC284" s="46" t="str">
        <f t="shared" si="223"/>
        <v/>
      </c>
      <c r="AD284" s="15"/>
    </row>
    <row r="285" spans="1:30" x14ac:dyDescent="0.25">
      <c r="A285" s="25" t="s">
        <v>27</v>
      </c>
      <c r="B285" s="32"/>
      <c r="C285" s="26"/>
      <c r="D285" s="27" t="s">
        <v>524</v>
      </c>
      <c r="E285" s="29" t="s">
        <v>311</v>
      </c>
      <c r="F285" s="28" t="s">
        <v>500</v>
      </c>
      <c r="G285" s="45">
        <v>5.3</v>
      </c>
      <c r="H285" s="45">
        <v>0.24</v>
      </c>
      <c r="I285" s="45">
        <f t="shared" si="227"/>
        <v>0.25</v>
      </c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45"/>
      <c r="U285" s="45"/>
      <c r="V285" s="45"/>
      <c r="W285" s="15"/>
      <c r="X285" s="15"/>
      <c r="Y285" s="46">
        <f t="shared" si="219"/>
        <v>1.272</v>
      </c>
      <c r="Z285" s="46">
        <f t="shared" si="220"/>
        <v>0.318</v>
      </c>
      <c r="AA285" s="46" t="str">
        <f t="shared" si="221"/>
        <v/>
      </c>
      <c r="AB285" s="46" t="str">
        <f t="shared" si="222"/>
        <v/>
      </c>
      <c r="AC285" s="46" t="str">
        <f t="shared" si="223"/>
        <v/>
      </c>
      <c r="AD285" s="15"/>
    </row>
    <row r="286" spans="1:30" x14ac:dyDescent="0.25">
      <c r="A286" s="25" t="s">
        <v>27</v>
      </c>
      <c r="B286" s="32"/>
      <c r="C286" s="26"/>
      <c r="D286" s="27" t="s">
        <v>525</v>
      </c>
      <c r="E286" s="29" t="s">
        <v>311</v>
      </c>
      <c r="F286" s="28" t="s">
        <v>500</v>
      </c>
      <c r="G286" s="45">
        <v>9.6999999999999993</v>
      </c>
      <c r="H286" s="45">
        <v>0.2</v>
      </c>
      <c r="I286" s="45">
        <f t="shared" si="227"/>
        <v>0.25</v>
      </c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45"/>
      <c r="U286" s="45"/>
      <c r="V286" s="45"/>
      <c r="W286" s="15"/>
      <c r="X286" s="15"/>
      <c r="Y286" s="46">
        <f t="shared" si="219"/>
        <v>1.94</v>
      </c>
      <c r="Z286" s="46">
        <f t="shared" si="220"/>
        <v>0.48499999999999999</v>
      </c>
      <c r="AA286" s="46" t="str">
        <f t="shared" si="221"/>
        <v/>
      </c>
      <c r="AB286" s="46" t="str">
        <f t="shared" si="222"/>
        <v/>
      </c>
      <c r="AC286" s="46" t="str">
        <f t="shared" si="223"/>
        <v/>
      </c>
      <c r="AD286" s="15"/>
    </row>
    <row r="287" spans="1:30" x14ac:dyDescent="0.25">
      <c r="A287" s="25" t="s">
        <v>27</v>
      </c>
      <c r="B287" s="32"/>
      <c r="C287" s="26"/>
      <c r="D287" s="27" t="s">
        <v>526</v>
      </c>
      <c r="E287" s="29" t="s">
        <v>311</v>
      </c>
      <c r="F287" s="28" t="s">
        <v>500</v>
      </c>
      <c r="G287" s="45">
        <v>14.2</v>
      </c>
      <c r="H287" s="45">
        <v>0.24</v>
      </c>
      <c r="I287" s="45">
        <f t="shared" si="227"/>
        <v>0.25</v>
      </c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45"/>
      <c r="U287" s="45"/>
      <c r="V287" s="45"/>
      <c r="W287" s="15"/>
      <c r="X287" s="15"/>
      <c r="Y287" s="46">
        <f t="shared" si="219"/>
        <v>3.4079999999999999</v>
      </c>
      <c r="Z287" s="46">
        <f t="shared" si="220"/>
        <v>0.85199999999999998</v>
      </c>
      <c r="AA287" s="46" t="str">
        <f t="shared" si="221"/>
        <v/>
      </c>
      <c r="AB287" s="46" t="str">
        <f t="shared" si="222"/>
        <v/>
      </c>
      <c r="AC287" s="46" t="str">
        <f t="shared" si="223"/>
        <v/>
      </c>
      <c r="AD287" s="15"/>
    </row>
    <row r="288" spans="1:30" x14ac:dyDescent="0.25">
      <c r="A288" s="25" t="s">
        <v>27</v>
      </c>
      <c r="B288" s="32"/>
      <c r="C288" s="26"/>
      <c r="D288" s="27" t="s">
        <v>527</v>
      </c>
      <c r="E288" s="29" t="s">
        <v>311</v>
      </c>
      <c r="F288" s="28" t="s">
        <v>500</v>
      </c>
      <c r="G288" s="45">
        <f>4.2+0.4</f>
        <v>4.6000000000000005</v>
      </c>
      <c r="H288" s="45">
        <v>0.24</v>
      </c>
      <c r="I288" s="45">
        <f t="shared" si="227"/>
        <v>0.25</v>
      </c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45"/>
      <c r="U288" s="45"/>
      <c r="V288" s="45"/>
      <c r="W288" s="15"/>
      <c r="X288" s="15"/>
      <c r="Y288" s="46">
        <f t="shared" si="219"/>
        <v>1.1040000000000001</v>
      </c>
      <c r="Z288" s="46">
        <f t="shared" si="220"/>
        <v>0.27600000000000002</v>
      </c>
      <c r="AA288" s="46" t="str">
        <f t="shared" si="221"/>
        <v/>
      </c>
      <c r="AB288" s="46" t="str">
        <f t="shared" si="222"/>
        <v/>
      </c>
      <c r="AC288" s="46" t="str">
        <f t="shared" si="223"/>
        <v/>
      </c>
      <c r="AD288" s="15"/>
    </row>
    <row r="289" spans="1:30" x14ac:dyDescent="0.25">
      <c r="A289" s="25" t="s">
        <v>27</v>
      </c>
      <c r="B289" s="32"/>
      <c r="C289" s="26"/>
      <c r="D289" s="27" t="s">
        <v>528</v>
      </c>
      <c r="E289" s="29" t="s">
        <v>311</v>
      </c>
      <c r="F289" s="28" t="s">
        <v>500</v>
      </c>
      <c r="G289" s="45">
        <v>10</v>
      </c>
      <c r="H289" s="45">
        <v>0.24</v>
      </c>
      <c r="I289" s="45">
        <f t="shared" si="227"/>
        <v>0.25</v>
      </c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45"/>
      <c r="U289" s="45"/>
      <c r="V289" s="45"/>
      <c r="W289" s="15"/>
      <c r="X289" s="15"/>
      <c r="Y289" s="46">
        <f t="shared" si="219"/>
        <v>2.4</v>
      </c>
      <c r="Z289" s="46">
        <f t="shared" si="220"/>
        <v>0.6</v>
      </c>
      <c r="AA289" s="46" t="str">
        <f t="shared" si="221"/>
        <v/>
      </c>
      <c r="AB289" s="46" t="str">
        <f t="shared" si="222"/>
        <v/>
      </c>
      <c r="AC289" s="46" t="str">
        <f t="shared" si="223"/>
        <v/>
      </c>
      <c r="AD289" s="15"/>
    </row>
    <row r="290" spans="1:30" x14ac:dyDescent="0.25">
      <c r="A290" s="25" t="s">
        <v>27</v>
      </c>
      <c r="B290" s="32"/>
      <c r="C290" s="26"/>
      <c r="D290" s="27" t="s">
        <v>529</v>
      </c>
      <c r="E290" s="29" t="s">
        <v>311</v>
      </c>
      <c r="F290" s="28" t="s">
        <v>500</v>
      </c>
      <c r="G290" s="45">
        <v>3.32</v>
      </c>
      <c r="H290" s="45">
        <v>0.24</v>
      </c>
      <c r="I290" s="45">
        <f t="shared" si="227"/>
        <v>0.25</v>
      </c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45"/>
      <c r="U290" s="45"/>
      <c r="V290" s="45"/>
      <c r="W290" s="15"/>
      <c r="X290" s="15"/>
      <c r="Y290" s="46">
        <f t="shared" si="219"/>
        <v>0.79679999999999995</v>
      </c>
      <c r="Z290" s="46">
        <f t="shared" si="220"/>
        <v>0.19919999999999999</v>
      </c>
      <c r="AA290" s="46" t="str">
        <f t="shared" si="221"/>
        <v/>
      </c>
      <c r="AB290" s="46" t="str">
        <f t="shared" si="222"/>
        <v/>
      </c>
      <c r="AC290" s="46" t="str">
        <f t="shared" si="223"/>
        <v/>
      </c>
      <c r="AD290" s="15"/>
    </row>
    <row r="291" spans="1:30" x14ac:dyDescent="0.25">
      <c r="A291" s="25" t="s">
        <v>27</v>
      </c>
      <c r="B291" s="32"/>
      <c r="C291" s="26"/>
      <c r="D291" s="27" t="s">
        <v>530</v>
      </c>
      <c r="E291" s="29" t="s">
        <v>311</v>
      </c>
      <c r="F291" s="28" t="s">
        <v>500</v>
      </c>
      <c r="G291" s="45">
        <f>3.44*2+2.4*2+2.2+1.79*2</f>
        <v>17.46</v>
      </c>
      <c r="H291" s="45">
        <v>0.2</v>
      </c>
      <c r="I291" s="45">
        <f t="shared" si="227"/>
        <v>0.25</v>
      </c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45"/>
      <c r="U291" s="45">
        <f>(3.05*2+2.4*2+1.8*2+1.79*2)*0.25</f>
        <v>4.5199999999999996</v>
      </c>
      <c r="V291" s="45"/>
      <c r="W291" s="15"/>
      <c r="X291" s="15"/>
      <c r="Y291" s="46">
        <f t="shared" si="219"/>
        <v>3.4920000000000004</v>
      </c>
      <c r="Z291" s="46">
        <f t="shared" si="220"/>
        <v>0.87300000000000011</v>
      </c>
      <c r="AA291" s="46" t="str">
        <f t="shared" si="221"/>
        <v/>
      </c>
      <c r="AB291" s="46">
        <f t="shared" si="222"/>
        <v>4.5199999999999996</v>
      </c>
      <c r="AC291" s="46" t="str">
        <f t="shared" si="223"/>
        <v/>
      </c>
      <c r="AD291" s="15"/>
    </row>
    <row r="292" spans="1:30" x14ac:dyDescent="0.25">
      <c r="A292" s="25" t="s">
        <v>27</v>
      </c>
      <c r="B292" s="32"/>
      <c r="C292" s="26"/>
      <c r="D292" s="27" t="s">
        <v>531</v>
      </c>
      <c r="E292" s="29" t="s">
        <v>311</v>
      </c>
      <c r="F292" s="28" t="s">
        <v>500</v>
      </c>
      <c r="G292" s="45">
        <v>3.55</v>
      </c>
      <c r="H292" s="45">
        <v>0.24</v>
      </c>
      <c r="I292" s="45">
        <f t="shared" si="227"/>
        <v>0.25</v>
      </c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45"/>
      <c r="U292" s="45"/>
      <c r="V292" s="45"/>
      <c r="W292" s="15"/>
      <c r="X292" s="15"/>
      <c r="Y292" s="46">
        <f t="shared" si="219"/>
        <v>0.85199999999999998</v>
      </c>
      <c r="Z292" s="46">
        <f t="shared" si="220"/>
        <v>0.21299999999999999</v>
      </c>
      <c r="AA292" s="46" t="str">
        <f t="shared" si="221"/>
        <v/>
      </c>
      <c r="AB292" s="46" t="str">
        <f t="shared" si="222"/>
        <v/>
      </c>
      <c r="AC292" s="46" t="str">
        <f t="shared" si="223"/>
        <v/>
      </c>
      <c r="AD292" s="15"/>
    </row>
    <row r="293" spans="1:30" x14ac:dyDescent="0.25">
      <c r="A293" s="25" t="s">
        <v>27</v>
      </c>
      <c r="B293" s="32"/>
      <c r="C293" s="26"/>
      <c r="D293" s="27" t="s">
        <v>532</v>
      </c>
      <c r="E293" s="29" t="s">
        <v>311</v>
      </c>
      <c r="F293" s="28" t="s">
        <v>500</v>
      </c>
      <c r="G293" s="45">
        <v>4.8</v>
      </c>
      <c r="H293" s="45">
        <v>0.24</v>
      </c>
      <c r="I293" s="45">
        <f t="shared" si="227"/>
        <v>0.25</v>
      </c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45"/>
      <c r="U293" s="45"/>
      <c r="V293" s="45"/>
      <c r="W293" s="15"/>
      <c r="X293" s="15"/>
      <c r="Y293" s="46">
        <f t="shared" si="219"/>
        <v>1.1519999999999999</v>
      </c>
      <c r="Z293" s="46">
        <f t="shared" si="220"/>
        <v>0.28799999999999998</v>
      </c>
      <c r="AA293" s="46" t="str">
        <f t="shared" si="221"/>
        <v/>
      </c>
      <c r="AB293" s="46" t="str">
        <f t="shared" si="222"/>
        <v/>
      </c>
      <c r="AC293" s="46" t="str">
        <f t="shared" si="223"/>
        <v/>
      </c>
      <c r="AD293" s="15"/>
    </row>
    <row r="294" spans="1:30" x14ac:dyDescent="0.25">
      <c r="A294" s="25" t="s">
        <v>27</v>
      </c>
      <c r="B294" s="32"/>
      <c r="C294" s="26"/>
      <c r="D294" s="27" t="s">
        <v>533</v>
      </c>
      <c r="E294" s="29" t="s">
        <v>311</v>
      </c>
      <c r="F294" s="28" t="s">
        <v>500</v>
      </c>
      <c r="G294" s="45">
        <v>10.91</v>
      </c>
      <c r="H294" s="45">
        <v>0.24</v>
      </c>
      <c r="I294" s="45">
        <f t="shared" si="227"/>
        <v>0.25</v>
      </c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45"/>
      <c r="U294" s="45"/>
      <c r="V294" s="45"/>
      <c r="W294" s="15"/>
      <c r="X294" s="15"/>
      <c r="Y294" s="46">
        <f t="shared" si="219"/>
        <v>2.6183999999999998</v>
      </c>
      <c r="Z294" s="46">
        <f t="shared" si="220"/>
        <v>0.65459999999999996</v>
      </c>
      <c r="AA294" s="46" t="str">
        <f t="shared" si="221"/>
        <v/>
      </c>
      <c r="AB294" s="46" t="str">
        <f t="shared" si="222"/>
        <v/>
      </c>
      <c r="AC294" s="46" t="str">
        <f t="shared" si="223"/>
        <v/>
      </c>
      <c r="AD294" s="15"/>
    </row>
    <row r="295" spans="1:30" x14ac:dyDescent="0.25">
      <c r="A295" s="25" t="s">
        <v>27</v>
      </c>
      <c r="B295" s="32"/>
      <c r="C295" s="26"/>
      <c r="D295" s="27" t="s">
        <v>534</v>
      </c>
      <c r="E295" s="29" t="s">
        <v>311</v>
      </c>
      <c r="F295" s="28" t="s">
        <v>500</v>
      </c>
      <c r="G295" s="45">
        <v>11.2</v>
      </c>
      <c r="H295" s="45">
        <v>0.24</v>
      </c>
      <c r="I295" s="45">
        <f t="shared" si="227"/>
        <v>0.25</v>
      </c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45"/>
      <c r="U295" s="45"/>
      <c r="V295" s="45"/>
      <c r="W295" s="15"/>
      <c r="X295" s="15"/>
      <c r="Y295" s="46">
        <f t="shared" si="219"/>
        <v>2.6879999999999997</v>
      </c>
      <c r="Z295" s="46">
        <f t="shared" si="220"/>
        <v>0.67199999999999993</v>
      </c>
      <c r="AA295" s="46" t="str">
        <f t="shared" si="221"/>
        <v/>
      </c>
      <c r="AB295" s="46" t="str">
        <f t="shared" si="222"/>
        <v/>
      </c>
      <c r="AC295" s="46" t="str">
        <f t="shared" si="223"/>
        <v/>
      </c>
      <c r="AD295" s="15"/>
    </row>
    <row r="296" spans="1:30" x14ac:dyDescent="0.25">
      <c r="A296" s="25" t="s">
        <v>27</v>
      </c>
      <c r="B296" s="32"/>
      <c r="C296" s="26"/>
      <c r="D296" s="27" t="s">
        <v>535</v>
      </c>
      <c r="E296" s="29" t="s">
        <v>311</v>
      </c>
      <c r="F296" s="28" t="s">
        <v>500</v>
      </c>
      <c r="G296" s="45">
        <v>6.51</v>
      </c>
      <c r="H296" s="45">
        <v>0.45</v>
      </c>
      <c r="I296" s="45">
        <f t="shared" si="227"/>
        <v>0.25</v>
      </c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45"/>
      <c r="U296" s="45"/>
      <c r="V296" s="45"/>
      <c r="W296" s="15"/>
      <c r="X296" s="15"/>
      <c r="Y296" s="46">
        <f t="shared" si="219"/>
        <v>2.9295</v>
      </c>
      <c r="Z296" s="46">
        <f t="shared" si="220"/>
        <v>0.732375</v>
      </c>
      <c r="AA296" s="46" t="str">
        <f t="shared" si="221"/>
        <v/>
      </c>
      <c r="AB296" s="46" t="str">
        <f t="shared" si="222"/>
        <v/>
      </c>
      <c r="AC296" s="46" t="str">
        <f t="shared" si="223"/>
        <v/>
      </c>
      <c r="AD296" s="15"/>
    </row>
    <row r="297" spans="1:30" x14ac:dyDescent="0.25">
      <c r="A297" s="25" t="s">
        <v>27</v>
      </c>
      <c r="B297" s="32"/>
      <c r="C297" s="26"/>
      <c r="D297" s="27" t="s">
        <v>536</v>
      </c>
      <c r="E297" s="29" t="s">
        <v>311</v>
      </c>
      <c r="F297" s="28" t="s">
        <v>500</v>
      </c>
      <c r="G297" s="45">
        <f>4.64-0.24</f>
        <v>4.3999999999999995</v>
      </c>
      <c r="H297" s="45">
        <v>0.24</v>
      </c>
      <c r="I297" s="45">
        <f t="shared" si="227"/>
        <v>0.25</v>
      </c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45"/>
      <c r="U297" s="45"/>
      <c r="V297" s="45"/>
      <c r="W297" s="15"/>
      <c r="X297" s="15"/>
      <c r="Y297" s="46">
        <f t="shared" si="219"/>
        <v>1.0559999999999998</v>
      </c>
      <c r="Z297" s="46">
        <f t="shared" si="220"/>
        <v>0.26399999999999996</v>
      </c>
      <c r="AA297" s="46" t="str">
        <f t="shared" si="221"/>
        <v/>
      </c>
      <c r="AB297" s="46" t="str">
        <f t="shared" si="222"/>
        <v/>
      </c>
      <c r="AC297" s="46" t="str">
        <f t="shared" si="223"/>
        <v/>
      </c>
      <c r="AD297" s="15"/>
    </row>
    <row r="298" spans="1:30" x14ac:dyDescent="0.25">
      <c r="A298" s="25" t="s">
        <v>27</v>
      </c>
      <c r="B298" s="32"/>
      <c r="C298" s="26"/>
      <c r="D298" s="27" t="s">
        <v>537</v>
      </c>
      <c r="E298" s="29" t="s">
        <v>311</v>
      </c>
      <c r="F298" s="28" t="s">
        <v>500</v>
      </c>
      <c r="G298" s="45">
        <v>3.99</v>
      </c>
      <c r="H298" s="45">
        <v>0.24</v>
      </c>
      <c r="I298" s="45">
        <f t="shared" si="227"/>
        <v>0.25</v>
      </c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45"/>
      <c r="U298" s="45"/>
      <c r="V298" s="45"/>
      <c r="W298" s="15"/>
      <c r="X298" s="15"/>
      <c r="Y298" s="46">
        <f t="shared" si="219"/>
        <v>0.95760000000000001</v>
      </c>
      <c r="Z298" s="46">
        <f t="shared" si="220"/>
        <v>0.2394</v>
      </c>
      <c r="AA298" s="46" t="str">
        <f t="shared" si="221"/>
        <v/>
      </c>
      <c r="AB298" s="46" t="str">
        <f t="shared" si="222"/>
        <v/>
      </c>
      <c r="AC298" s="46" t="str">
        <f t="shared" si="223"/>
        <v/>
      </c>
      <c r="AD298" s="15"/>
    </row>
    <row r="299" spans="1:30" x14ac:dyDescent="0.25">
      <c r="A299" s="25" t="s">
        <v>27</v>
      </c>
      <c r="B299" s="32"/>
      <c r="C299" s="26"/>
      <c r="D299" s="27" t="s">
        <v>538</v>
      </c>
      <c r="E299" s="29" t="s">
        <v>311</v>
      </c>
      <c r="F299" s="28" t="s">
        <v>500</v>
      </c>
      <c r="G299" s="45">
        <v>8.8000000000000007</v>
      </c>
      <c r="H299" s="45">
        <v>0.24</v>
      </c>
      <c r="I299" s="45">
        <f t="shared" si="227"/>
        <v>0.25</v>
      </c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45"/>
      <c r="U299" s="45"/>
      <c r="V299" s="45"/>
      <c r="W299" s="15"/>
      <c r="X299" s="15"/>
      <c r="Y299" s="46">
        <f t="shared" si="219"/>
        <v>2.1120000000000001</v>
      </c>
      <c r="Z299" s="46">
        <f t="shared" si="220"/>
        <v>0.52800000000000002</v>
      </c>
      <c r="AA299" s="46" t="str">
        <f t="shared" si="221"/>
        <v/>
      </c>
      <c r="AB299" s="46" t="str">
        <f t="shared" si="222"/>
        <v/>
      </c>
      <c r="AC299" s="46" t="str">
        <f t="shared" si="223"/>
        <v/>
      </c>
      <c r="AD299" s="15"/>
    </row>
    <row r="300" spans="1:30" x14ac:dyDescent="0.25">
      <c r="A300" s="25" t="s">
        <v>27</v>
      </c>
      <c r="B300" s="32"/>
      <c r="C300" s="26"/>
      <c r="D300" s="27" t="s">
        <v>539</v>
      </c>
      <c r="E300" s="29" t="s">
        <v>311</v>
      </c>
      <c r="F300" s="28" t="s">
        <v>500</v>
      </c>
      <c r="G300" s="45">
        <v>5.5149999999999997</v>
      </c>
      <c r="H300" s="45">
        <v>0.45</v>
      </c>
      <c r="I300" s="45">
        <f t="shared" si="227"/>
        <v>0.25</v>
      </c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45"/>
      <c r="U300" s="45"/>
      <c r="V300" s="45"/>
      <c r="W300" s="15"/>
      <c r="X300" s="15"/>
      <c r="Y300" s="46">
        <f t="shared" si="219"/>
        <v>2.4817499999999999</v>
      </c>
      <c r="Z300" s="46">
        <f t="shared" si="220"/>
        <v>0.62043749999999998</v>
      </c>
      <c r="AA300" s="46" t="str">
        <f t="shared" si="221"/>
        <v/>
      </c>
      <c r="AB300" s="46" t="str">
        <f t="shared" si="222"/>
        <v/>
      </c>
      <c r="AC300" s="46" t="str">
        <f t="shared" si="223"/>
        <v/>
      </c>
      <c r="AD300" s="15"/>
    </row>
    <row r="301" spans="1:30" x14ac:dyDescent="0.25">
      <c r="A301" s="25" t="s">
        <v>27</v>
      </c>
      <c r="B301" s="32"/>
      <c r="C301" s="26"/>
      <c r="D301" s="27" t="s">
        <v>540</v>
      </c>
      <c r="E301" s="29" t="s">
        <v>311</v>
      </c>
      <c r="F301" s="28" t="s">
        <v>500</v>
      </c>
      <c r="G301" s="45">
        <v>9.5500000000000007</v>
      </c>
      <c r="H301" s="45">
        <v>0.24</v>
      </c>
      <c r="I301" s="45">
        <f t="shared" si="227"/>
        <v>0.25</v>
      </c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45"/>
      <c r="U301" s="45"/>
      <c r="V301" s="45"/>
      <c r="W301" s="15"/>
      <c r="X301" s="15"/>
      <c r="Y301" s="46">
        <f t="shared" si="219"/>
        <v>2.2920000000000003</v>
      </c>
      <c r="Z301" s="46">
        <f t="shared" si="220"/>
        <v>0.57300000000000006</v>
      </c>
      <c r="AA301" s="46" t="str">
        <f t="shared" si="221"/>
        <v/>
      </c>
      <c r="AB301" s="46" t="str">
        <f t="shared" si="222"/>
        <v/>
      </c>
      <c r="AC301" s="46" t="str">
        <f t="shared" si="223"/>
        <v/>
      </c>
      <c r="AD301" s="15"/>
    </row>
    <row r="302" spans="1:30" x14ac:dyDescent="0.25">
      <c r="A302" s="25" t="s">
        <v>27</v>
      </c>
      <c r="B302" s="32"/>
      <c r="C302" s="26"/>
      <c r="D302" s="27" t="s">
        <v>541</v>
      </c>
      <c r="E302" s="29" t="s">
        <v>311</v>
      </c>
      <c r="F302" s="28" t="s">
        <v>500</v>
      </c>
      <c r="G302" s="45">
        <v>10.11</v>
      </c>
      <c r="H302" s="45">
        <v>0.24</v>
      </c>
      <c r="I302" s="45">
        <f t="shared" si="227"/>
        <v>0.25</v>
      </c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45"/>
      <c r="U302" s="45"/>
      <c r="V302" s="45"/>
      <c r="W302" s="15"/>
      <c r="X302" s="15"/>
      <c r="Y302" s="46">
        <f t="shared" si="219"/>
        <v>2.4263999999999997</v>
      </c>
      <c r="Z302" s="46">
        <f t="shared" si="220"/>
        <v>0.60659999999999992</v>
      </c>
      <c r="AA302" s="46" t="str">
        <f t="shared" si="221"/>
        <v/>
      </c>
      <c r="AB302" s="46" t="str">
        <f t="shared" si="222"/>
        <v/>
      </c>
      <c r="AC302" s="46" t="str">
        <f t="shared" si="223"/>
        <v/>
      </c>
      <c r="AD302" s="15"/>
    </row>
    <row r="303" spans="1:30" x14ac:dyDescent="0.25">
      <c r="A303" s="25" t="s">
        <v>27</v>
      </c>
      <c r="B303" s="32"/>
      <c r="C303" s="26"/>
      <c r="D303" s="27" t="s">
        <v>542</v>
      </c>
      <c r="E303" s="29" t="s">
        <v>311</v>
      </c>
      <c r="F303" s="28" t="s">
        <v>500</v>
      </c>
      <c r="G303" s="45">
        <v>6.8</v>
      </c>
      <c r="H303" s="45">
        <v>0.45</v>
      </c>
      <c r="I303" s="45">
        <f t="shared" si="227"/>
        <v>0.25</v>
      </c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45"/>
      <c r="U303" s="45"/>
      <c r="V303" s="45"/>
      <c r="W303" s="15"/>
      <c r="X303" s="15"/>
      <c r="Y303" s="46">
        <f t="shared" si="219"/>
        <v>3.06</v>
      </c>
      <c r="Z303" s="46">
        <f t="shared" si="220"/>
        <v>0.76500000000000001</v>
      </c>
      <c r="AA303" s="46" t="str">
        <f t="shared" si="221"/>
        <v/>
      </c>
      <c r="AB303" s="46" t="str">
        <f t="shared" si="222"/>
        <v/>
      </c>
      <c r="AC303" s="46" t="str">
        <f t="shared" si="223"/>
        <v/>
      </c>
      <c r="AD303" s="15"/>
    </row>
    <row r="304" spans="1:30" x14ac:dyDescent="0.25">
      <c r="A304" s="25" t="s">
        <v>27</v>
      </c>
      <c r="B304" s="32"/>
      <c r="C304" s="26"/>
      <c r="D304" s="27" t="s">
        <v>543</v>
      </c>
      <c r="E304" s="29" t="s">
        <v>311</v>
      </c>
      <c r="F304" s="28" t="s">
        <v>500</v>
      </c>
      <c r="G304" s="45">
        <v>6.8</v>
      </c>
      <c r="H304" s="45">
        <v>0.24</v>
      </c>
      <c r="I304" s="45">
        <f t="shared" si="227"/>
        <v>0.25</v>
      </c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45"/>
      <c r="U304" s="45"/>
      <c r="V304" s="45"/>
      <c r="W304" s="15"/>
      <c r="X304" s="15"/>
      <c r="Y304" s="46">
        <f t="shared" si="219"/>
        <v>1.6319999999999999</v>
      </c>
      <c r="Z304" s="46">
        <f t="shared" si="220"/>
        <v>0.40799999999999997</v>
      </c>
      <c r="AA304" s="46" t="str">
        <f t="shared" si="221"/>
        <v/>
      </c>
      <c r="AB304" s="46" t="str">
        <f t="shared" si="222"/>
        <v/>
      </c>
      <c r="AC304" s="46" t="str">
        <f t="shared" si="223"/>
        <v/>
      </c>
      <c r="AD304" s="15"/>
    </row>
    <row r="305" spans="1:30" x14ac:dyDescent="0.25">
      <c r="A305" s="25" t="s">
        <v>27</v>
      </c>
      <c r="B305" s="32"/>
      <c r="C305" s="26"/>
      <c r="D305" s="27" t="s">
        <v>544</v>
      </c>
      <c r="E305" s="29" t="s">
        <v>311</v>
      </c>
      <c r="F305" s="28" t="s">
        <v>500</v>
      </c>
      <c r="G305" s="45">
        <v>6.45</v>
      </c>
      <c r="H305" s="45">
        <v>0.24</v>
      </c>
      <c r="I305" s="45">
        <f t="shared" si="227"/>
        <v>0.25</v>
      </c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45"/>
      <c r="U305" s="45"/>
      <c r="V305" s="45"/>
      <c r="W305" s="15"/>
      <c r="X305" s="15"/>
      <c r="Y305" s="46">
        <f t="shared" si="219"/>
        <v>1.548</v>
      </c>
      <c r="Z305" s="46">
        <f t="shared" si="220"/>
        <v>0.38700000000000001</v>
      </c>
      <c r="AA305" s="46" t="str">
        <f t="shared" si="221"/>
        <v/>
      </c>
      <c r="AB305" s="46" t="str">
        <f t="shared" si="222"/>
        <v/>
      </c>
      <c r="AC305" s="46" t="str">
        <f t="shared" si="223"/>
        <v/>
      </c>
      <c r="AD305" s="15"/>
    </row>
    <row r="306" spans="1:30" x14ac:dyDescent="0.25">
      <c r="A306" s="25" t="s">
        <v>27</v>
      </c>
      <c r="B306" s="32"/>
      <c r="C306" s="26"/>
      <c r="D306" s="27" t="s">
        <v>545</v>
      </c>
      <c r="E306" s="29" t="s">
        <v>311</v>
      </c>
      <c r="F306" s="28" t="s">
        <v>500</v>
      </c>
      <c r="G306" s="45">
        <v>5.66</v>
      </c>
      <c r="H306" s="45">
        <v>0.24</v>
      </c>
      <c r="I306" s="45">
        <f t="shared" si="227"/>
        <v>0.25</v>
      </c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45"/>
      <c r="U306" s="45"/>
      <c r="V306" s="45"/>
      <c r="W306" s="15"/>
      <c r="X306" s="15"/>
      <c r="Y306" s="46">
        <f t="shared" si="219"/>
        <v>1.3584000000000001</v>
      </c>
      <c r="Z306" s="46">
        <f t="shared" si="220"/>
        <v>0.33960000000000001</v>
      </c>
      <c r="AA306" s="46" t="str">
        <f t="shared" si="221"/>
        <v/>
      </c>
      <c r="AB306" s="46" t="str">
        <f t="shared" si="222"/>
        <v/>
      </c>
      <c r="AC306" s="46" t="str">
        <f t="shared" si="223"/>
        <v/>
      </c>
      <c r="AD306" s="15"/>
    </row>
    <row r="307" spans="1:30" x14ac:dyDescent="0.25">
      <c r="A307" s="25" t="s">
        <v>27</v>
      </c>
      <c r="B307" s="32"/>
      <c r="C307" s="26"/>
      <c r="D307" s="27" t="s">
        <v>546</v>
      </c>
      <c r="E307" s="29" t="s">
        <v>311</v>
      </c>
      <c r="F307" s="28" t="s">
        <v>500</v>
      </c>
      <c r="G307" s="45">
        <v>7</v>
      </c>
      <c r="H307" s="45">
        <v>0.2</v>
      </c>
      <c r="I307" s="45">
        <f t="shared" si="227"/>
        <v>0.25</v>
      </c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45"/>
      <c r="U307" s="45"/>
      <c r="V307" s="45"/>
      <c r="W307" s="15"/>
      <c r="X307" s="15"/>
      <c r="Y307" s="46">
        <f t="shared" si="219"/>
        <v>1.4000000000000001</v>
      </c>
      <c r="Z307" s="46">
        <f t="shared" si="220"/>
        <v>0.35000000000000003</v>
      </c>
      <c r="AA307" s="46" t="str">
        <f t="shared" si="221"/>
        <v/>
      </c>
      <c r="AB307" s="46" t="str">
        <f t="shared" si="222"/>
        <v/>
      </c>
      <c r="AC307" s="46" t="str">
        <f t="shared" si="223"/>
        <v/>
      </c>
      <c r="AD307" s="15"/>
    </row>
    <row r="308" spans="1:30" x14ac:dyDescent="0.25">
      <c r="A308" s="25" t="s">
        <v>27</v>
      </c>
      <c r="B308" s="32"/>
      <c r="C308" s="26"/>
      <c r="D308" s="27" t="s">
        <v>547</v>
      </c>
      <c r="E308" s="29" t="s">
        <v>311</v>
      </c>
      <c r="F308" s="28" t="s">
        <v>500</v>
      </c>
      <c r="G308" s="45">
        <v>11.7</v>
      </c>
      <c r="H308" s="45">
        <v>0.2</v>
      </c>
      <c r="I308" s="45">
        <f t="shared" si="227"/>
        <v>0.25</v>
      </c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45"/>
      <c r="U308" s="45">
        <f>11.2*0.25</f>
        <v>2.8</v>
      </c>
      <c r="V308" s="45"/>
      <c r="W308" s="15"/>
      <c r="X308" s="15"/>
      <c r="Y308" s="46">
        <f t="shared" si="219"/>
        <v>2.34</v>
      </c>
      <c r="Z308" s="46">
        <f t="shared" si="220"/>
        <v>0.58499999999999996</v>
      </c>
      <c r="AA308" s="46" t="str">
        <f t="shared" si="221"/>
        <v/>
      </c>
      <c r="AB308" s="46">
        <f t="shared" si="222"/>
        <v>2.8</v>
      </c>
      <c r="AC308" s="46" t="str">
        <f t="shared" si="223"/>
        <v/>
      </c>
      <c r="AD308" s="15"/>
    </row>
    <row r="309" spans="1:30" x14ac:dyDescent="0.25">
      <c r="A309" s="25" t="s">
        <v>27</v>
      </c>
      <c r="B309" s="32"/>
      <c r="C309" s="26"/>
      <c r="D309" s="27" t="s">
        <v>548</v>
      </c>
      <c r="E309" s="29" t="s">
        <v>311</v>
      </c>
      <c r="F309" s="28" t="s">
        <v>500</v>
      </c>
      <c r="G309" s="45">
        <v>6.7</v>
      </c>
      <c r="H309" s="45">
        <v>0.2</v>
      </c>
      <c r="I309" s="45">
        <f t="shared" si="227"/>
        <v>0.25</v>
      </c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45"/>
      <c r="U309" s="45">
        <f>6.7*0.25</f>
        <v>1.675</v>
      </c>
      <c r="V309" s="45"/>
      <c r="W309" s="15"/>
      <c r="X309" s="15"/>
      <c r="Y309" s="46">
        <f t="shared" si="219"/>
        <v>1.34</v>
      </c>
      <c r="Z309" s="46">
        <f t="shared" si="220"/>
        <v>0.33500000000000002</v>
      </c>
      <c r="AA309" s="46" t="str">
        <f t="shared" si="221"/>
        <v/>
      </c>
      <c r="AB309" s="46">
        <f t="shared" si="222"/>
        <v>1.675</v>
      </c>
      <c r="AC309" s="46" t="str">
        <f t="shared" si="223"/>
        <v/>
      </c>
      <c r="AD309" s="15"/>
    </row>
    <row r="310" spans="1:30" x14ac:dyDescent="0.25">
      <c r="A310" s="25" t="s">
        <v>27</v>
      </c>
      <c r="B310" s="32"/>
      <c r="C310" s="26"/>
      <c r="D310" s="27" t="s">
        <v>549</v>
      </c>
      <c r="E310" s="29" t="s">
        <v>311</v>
      </c>
      <c r="F310" s="28" t="s">
        <v>500</v>
      </c>
      <c r="G310" s="45">
        <v>11.7</v>
      </c>
      <c r="H310" s="45">
        <v>0.2</v>
      </c>
      <c r="I310" s="45">
        <f t="shared" si="227"/>
        <v>0.25</v>
      </c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45"/>
      <c r="U310" s="45">
        <f>11.2*0.25</f>
        <v>2.8</v>
      </c>
      <c r="V310" s="45"/>
      <c r="W310" s="15"/>
      <c r="X310" s="15"/>
      <c r="Y310" s="46">
        <f t="shared" si="219"/>
        <v>2.34</v>
      </c>
      <c r="Z310" s="46">
        <f t="shared" si="220"/>
        <v>0.58499999999999996</v>
      </c>
      <c r="AA310" s="46" t="str">
        <f t="shared" si="221"/>
        <v/>
      </c>
      <c r="AB310" s="46">
        <f t="shared" si="222"/>
        <v>2.8</v>
      </c>
      <c r="AC310" s="46" t="str">
        <f t="shared" si="223"/>
        <v/>
      </c>
      <c r="AD310" s="15"/>
    </row>
    <row r="311" spans="1:30" x14ac:dyDescent="0.25">
      <c r="A311" s="25" t="s">
        <v>27</v>
      </c>
      <c r="B311" s="32"/>
      <c r="C311" s="26"/>
      <c r="D311" s="27" t="s">
        <v>550</v>
      </c>
      <c r="E311" s="29" t="s">
        <v>311</v>
      </c>
      <c r="F311" s="28" t="s">
        <v>500</v>
      </c>
      <c r="G311" s="45">
        <v>6.7</v>
      </c>
      <c r="H311" s="45">
        <v>0.2</v>
      </c>
      <c r="I311" s="45">
        <f t="shared" si="227"/>
        <v>0.25</v>
      </c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45"/>
      <c r="U311" s="45">
        <f>6.7*0.25</f>
        <v>1.675</v>
      </c>
      <c r="V311" s="45"/>
      <c r="W311" s="15"/>
      <c r="X311" s="15"/>
      <c r="Y311" s="46">
        <f t="shared" si="219"/>
        <v>1.34</v>
      </c>
      <c r="Z311" s="46">
        <f t="shared" si="220"/>
        <v>0.33500000000000002</v>
      </c>
      <c r="AA311" s="46" t="str">
        <f t="shared" si="221"/>
        <v/>
      </c>
      <c r="AB311" s="46">
        <f t="shared" si="222"/>
        <v>1.675</v>
      </c>
      <c r="AC311" s="46" t="str">
        <f t="shared" si="223"/>
        <v/>
      </c>
      <c r="AD311" s="15"/>
    </row>
    <row r="312" spans="1:30" x14ac:dyDescent="0.25">
      <c r="A312" s="25" t="s">
        <v>27</v>
      </c>
      <c r="B312" s="32"/>
      <c r="C312" s="26"/>
      <c r="D312" s="27" t="s">
        <v>551</v>
      </c>
      <c r="E312" s="29" t="s">
        <v>311</v>
      </c>
      <c r="F312" s="28" t="s">
        <v>500</v>
      </c>
      <c r="G312" s="45">
        <v>12.61</v>
      </c>
      <c r="H312" s="45">
        <v>0.24</v>
      </c>
      <c r="I312" s="45">
        <f t="shared" si="227"/>
        <v>0.25</v>
      </c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45"/>
      <c r="U312" s="45"/>
      <c r="V312" s="45"/>
      <c r="W312" s="15"/>
      <c r="X312" s="15"/>
      <c r="Y312" s="46">
        <f t="shared" si="219"/>
        <v>3.0263999999999998</v>
      </c>
      <c r="Z312" s="46">
        <f t="shared" si="220"/>
        <v>0.75659999999999994</v>
      </c>
      <c r="AA312" s="46" t="str">
        <f t="shared" si="221"/>
        <v/>
      </c>
      <c r="AB312" s="46" t="str">
        <f t="shared" si="222"/>
        <v/>
      </c>
      <c r="AC312" s="46" t="str">
        <f t="shared" si="223"/>
        <v/>
      </c>
      <c r="AD312" s="15"/>
    </row>
    <row r="313" spans="1:30" x14ac:dyDescent="0.25">
      <c r="A313" s="25" t="s">
        <v>27</v>
      </c>
      <c r="B313" s="32"/>
      <c r="C313" s="26"/>
      <c r="D313" s="27" t="s">
        <v>552</v>
      </c>
      <c r="E313" s="29" t="s">
        <v>311</v>
      </c>
      <c r="F313" s="28" t="s">
        <v>500</v>
      </c>
      <c r="G313" s="45">
        <f>2.185+1.775</f>
        <v>3.96</v>
      </c>
      <c r="H313" s="45">
        <v>0.24</v>
      </c>
      <c r="I313" s="45">
        <f t="shared" si="227"/>
        <v>0.25</v>
      </c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45"/>
      <c r="U313" s="45"/>
      <c r="V313" s="45"/>
      <c r="W313" s="15"/>
      <c r="X313" s="15"/>
      <c r="Y313" s="46">
        <f t="shared" si="219"/>
        <v>0.95039999999999991</v>
      </c>
      <c r="Z313" s="46">
        <f t="shared" si="220"/>
        <v>0.23759999999999998</v>
      </c>
      <c r="AA313" s="46" t="str">
        <f t="shared" si="221"/>
        <v/>
      </c>
      <c r="AB313" s="46" t="str">
        <f t="shared" si="222"/>
        <v/>
      </c>
      <c r="AC313" s="46" t="str">
        <f t="shared" si="223"/>
        <v/>
      </c>
      <c r="AD313" s="15"/>
    </row>
    <row r="314" spans="1:30" x14ac:dyDescent="0.25">
      <c r="A314" s="25" t="s">
        <v>27</v>
      </c>
      <c r="B314" s="32"/>
      <c r="C314" s="26"/>
      <c r="D314" s="27" t="s">
        <v>553</v>
      </c>
      <c r="E314" s="29" t="s">
        <v>311</v>
      </c>
      <c r="F314" s="28" t="s">
        <v>500</v>
      </c>
      <c r="G314" s="45">
        <f>5.74*2+2.42</f>
        <v>13.9</v>
      </c>
      <c r="H314" s="45">
        <v>0.19</v>
      </c>
      <c r="I314" s="45">
        <f t="shared" si="227"/>
        <v>0.25</v>
      </c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45"/>
      <c r="U314" s="45">
        <f>((5.74-0.24*2)*2+2.42)*0.25</f>
        <v>3.2349999999999999</v>
      </c>
      <c r="V314" s="45"/>
      <c r="W314" s="15"/>
      <c r="X314" s="15"/>
      <c r="Y314" s="46">
        <f t="shared" si="219"/>
        <v>2.641</v>
      </c>
      <c r="Z314" s="46">
        <f t="shared" si="220"/>
        <v>0.66025</v>
      </c>
      <c r="AA314" s="46" t="str">
        <f t="shared" si="221"/>
        <v/>
      </c>
      <c r="AB314" s="46">
        <f t="shared" si="222"/>
        <v>3.2349999999999999</v>
      </c>
      <c r="AC314" s="46" t="str">
        <f t="shared" si="223"/>
        <v/>
      </c>
      <c r="AD314" s="15"/>
    </row>
    <row r="315" spans="1:30" x14ac:dyDescent="0.25">
      <c r="A315" s="25" t="s">
        <v>27</v>
      </c>
      <c r="B315" s="32"/>
      <c r="C315" s="26"/>
      <c r="D315" s="27" t="s">
        <v>554</v>
      </c>
      <c r="E315" s="29" t="s">
        <v>311</v>
      </c>
      <c r="F315" s="28" t="s">
        <v>500</v>
      </c>
      <c r="G315" s="45">
        <v>2.42</v>
      </c>
      <c r="H315" s="45">
        <v>0.24</v>
      </c>
      <c r="I315" s="45">
        <f t="shared" si="227"/>
        <v>0.25</v>
      </c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45"/>
      <c r="U315" s="45">
        <f>2.42*0.25</f>
        <v>0.60499999999999998</v>
      </c>
      <c r="V315" s="45"/>
      <c r="W315" s="15"/>
      <c r="X315" s="15"/>
      <c r="Y315" s="46">
        <f t="shared" si="219"/>
        <v>0.58079999999999998</v>
      </c>
      <c r="Z315" s="46">
        <f t="shared" si="220"/>
        <v>0.1452</v>
      </c>
      <c r="AA315" s="46" t="str">
        <f t="shared" si="221"/>
        <v/>
      </c>
      <c r="AB315" s="46">
        <f t="shared" si="222"/>
        <v>0.60499999999999998</v>
      </c>
      <c r="AC315" s="46" t="str">
        <f t="shared" si="223"/>
        <v/>
      </c>
      <c r="AD315" s="15"/>
    </row>
    <row r="316" spans="1:30" x14ac:dyDescent="0.25">
      <c r="A316" s="25" t="s">
        <v>27</v>
      </c>
      <c r="B316" s="32"/>
      <c r="C316" s="26"/>
      <c r="D316" s="27" t="s">
        <v>555</v>
      </c>
      <c r="E316" s="29" t="s">
        <v>311</v>
      </c>
      <c r="F316" s="28" t="s">
        <v>500</v>
      </c>
      <c r="G316" s="45">
        <v>14.475</v>
      </c>
      <c r="H316" s="45">
        <v>0.24</v>
      </c>
      <c r="I316" s="45">
        <f t="shared" si="227"/>
        <v>0.25</v>
      </c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45"/>
      <c r="U316" s="45"/>
      <c r="V316" s="45"/>
      <c r="W316" s="15"/>
      <c r="X316" s="15"/>
      <c r="Y316" s="46">
        <f t="shared" si="219"/>
        <v>3.4739999999999998</v>
      </c>
      <c r="Z316" s="46">
        <f t="shared" si="220"/>
        <v>0.86849999999999994</v>
      </c>
      <c r="AA316" s="46" t="str">
        <f t="shared" si="221"/>
        <v/>
      </c>
      <c r="AB316" s="46" t="str">
        <f t="shared" si="222"/>
        <v/>
      </c>
      <c r="AC316" s="46" t="str">
        <f t="shared" si="223"/>
        <v/>
      </c>
      <c r="AD316" s="15"/>
    </row>
    <row r="317" spans="1:30" x14ac:dyDescent="0.25">
      <c r="A317" s="25" t="s">
        <v>27</v>
      </c>
      <c r="B317" s="32"/>
      <c r="C317" s="26"/>
      <c r="D317" s="27" t="s">
        <v>556</v>
      </c>
      <c r="E317" s="29" t="s">
        <v>311</v>
      </c>
      <c r="F317" s="28" t="s">
        <v>500</v>
      </c>
      <c r="G317" s="45">
        <v>5.45</v>
      </c>
      <c r="H317" s="45">
        <v>0.26</v>
      </c>
      <c r="I317" s="45">
        <f t="shared" si="227"/>
        <v>0.25</v>
      </c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45"/>
      <c r="U317" s="45"/>
      <c r="V317" s="45"/>
      <c r="W317" s="15"/>
      <c r="X317" s="15"/>
      <c r="Y317" s="46">
        <f t="shared" si="219"/>
        <v>1.417</v>
      </c>
      <c r="Z317" s="46">
        <f t="shared" si="220"/>
        <v>0.35425000000000001</v>
      </c>
      <c r="AA317" s="46" t="str">
        <f t="shared" si="221"/>
        <v/>
      </c>
      <c r="AB317" s="46" t="str">
        <f t="shared" si="222"/>
        <v/>
      </c>
      <c r="AC317" s="46" t="str">
        <f t="shared" si="223"/>
        <v/>
      </c>
      <c r="AD317" s="15"/>
    </row>
    <row r="318" spans="1:30" x14ac:dyDescent="0.25">
      <c r="A318" s="25" t="s">
        <v>27</v>
      </c>
      <c r="B318" s="32"/>
      <c r="C318" s="26"/>
      <c r="D318" s="27" t="s">
        <v>557</v>
      </c>
      <c r="E318" s="29" t="s">
        <v>311</v>
      </c>
      <c r="F318" s="28" t="s">
        <v>500</v>
      </c>
      <c r="G318" s="45">
        <v>5.45</v>
      </c>
      <c r="H318" s="45">
        <v>0.26</v>
      </c>
      <c r="I318" s="45">
        <f t="shared" si="227"/>
        <v>0.25</v>
      </c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45"/>
      <c r="U318" s="45"/>
      <c r="V318" s="45"/>
      <c r="W318" s="15"/>
      <c r="X318" s="15"/>
      <c r="Y318" s="46">
        <f t="shared" si="219"/>
        <v>1.417</v>
      </c>
      <c r="Z318" s="46">
        <f t="shared" si="220"/>
        <v>0.35425000000000001</v>
      </c>
      <c r="AA318" s="46" t="str">
        <f t="shared" si="221"/>
        <v/>
      </c>
      <c r="AB318" s="46" t="str">
        <f t="shared" si="222"/>
        <v/>
      </c>
      <c r="AC318" s="46" t="str">
        <f t="shared" si="223"/>
        <v/>
      </c>
      <c r="AD318" s="15"/>
    </row>
    <row r="319" spans="1:30" x14ac:dyDescent="0.25">
      <c r="A319" s="25" t="s">
        <v>27</v>
      </c>
      <c r="B319" s="32"/>
      <c r="C319" s="26"/>
      <c r="D319" s="27" t="s">
        <v>558</v>
      </c>
      <c r="E319" s="29" t="s">
        <v>311</v>
      </c>
      <c r="F319" s="28" t="s">
        <v>500</v>
      </c>
      <c r="G319" s="45">
        <f>34.97+0.7</f>
        <v>35.67</v>
      </c>
      <c r="H319" s="45">
        <v>0.24</v>
      </c>
      <c r="I319" s="45">
        <f t="shared" si="227"/>
        <v>0.25</v>
      </c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45"/>
      <c r="U319" s="45"/>
      <c r="V319" s="45"/>
      <c r="W319" s="15"/>
      <c r="X319" s="15"/>
      <c r="Y319" s="46">
        <f t="shared" si="219"/>
        <v>8.5608000000000004</v>
      </c>
      <c r="Z319" s="46">
        <f t="shared" si="220"/>
        <v>2.1402000000000001</v>
      </c>
      <c r="AA319" s="46" t="str">
        <f t="shared" si="221"/>
        <v/>
      </c>
      <c r="AB319" s="46" t="str">
        <f t="shared" si="222"/>
        <v/>
      </c>
      <c r="AC319" s="46" t="str">
        <f t="shared" si="223"/>
        <v/>
      </c>
      <c r="AD319" s="15"/>
    </row>
    <row r="320" spans="1:30" x14ac:dyDescent="0.25">
      <c r="A320" s="25" t="s">
        <v>27</v>
      </c>
      <c r="B320" s="32"/>
      <c r="C320" s="26"/>
      <c r="D320" s="27" t="s">
        <v>559</v>
      </c>
      <c r="E320" s="29" t="s">
        <v>311</v>
      </c>
      <c r="F320" s="28" t="s">
        <v>500</v>
      </c>
      <c r="G320" s="45">
        <v>9.7200000000000006</v>
      </c>
      <c r="H320" s="45">
        <v>0.24</v>
      </c>
      <c r="I320" s="45">
        <f t="shared" si="227"/>
        <v>0.25</v>
      </c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45"/>
      <c r="U320" s="45"/>
      <c r="V320" s="45"/>
      <c r="W320" s="15"/>
      <c r="X320" s="15"/>
      <c r="Y320" s="46">
        <f t="shared" si="219"/>
        <v>2.3328000000000002</v>
      </c>
      <c r="Z320" s="46">
        <f t="shared" si="220"/>
        <v>0.58320000000000005</v>
      </c>
      <c r="AA320" s="46" t="str">
        <f t="shared" si="221"/>
        <v/>
      </c>
      <c r="AB320" s="46" t="str">
        <f t="shared" si="222"/>
        <v/>
      </c>
      <c r="AC320" s="46" t="str">
        <f t="shared" si="223"/>
        <v/>
      </c>
      <c r="AD320" s="15"/>
    </row>
    <row r="321" spans="1:30" x14ac:dyDescent="0.25">
      <c r="A321" s="25"/>
      <c r="B321" s="32"/>
      <c r="C321" s="26"/>
      <c r="D321" s="27"/>
      <c r="E321" s="29"/>
      <c r="F321" s="28"/>
      <c r="G321" s="45"/>
      <c r="H321" s="45"/>
      <c r="I321" s="4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45"/>
      <c r="U321" s="45"/>
      <c r="V321" s="45"/>
      <c r="W321" s="15"/>
      <c r="X321" s="15"/>
      <c r="Y321" s="46" t="str">
        <f t="shared" ref="Y321" si="230">IF(((G321*H321)+J321-K321+L321)=0,"",((G321*H321)+J321-K321+L321))</f>
        <v/>
      </c>
      <c r="Z321" s="46" t="str">
        <f t="shared" ref="Z321" si="231">IF(PRODUCT(Y321,I321)+M321=0,"",Y321*I321+M321)</f>
        <v/>
      </c>
      <c r="AA321" s="46" t="str">
        <f t="shared" ref="AA321" si="232">IF((N321*O321+P321-Q321-R321+S321)=0,"",(N321*O321+P321-Q321-R321+S321))</f>
        <v/>
      </c>
      <c r="AB321" s="46" t="str">
        <f t="shared" ref="AB321" si="233">IF((U321+V321-W321+X321)=0,"",(U321+V321-W321+X321))</f>
        <v/>
      </c>
      <c r="AC321" s="46" t="str">
        <f t="shared" ref="AC321" si="234">IF((N321*O321+P321-Q321-R321+S321)=0,"",(N321*O321+P321-Q321-R321+S321))</f>
        <v/>
      </c>
      <c r="AD321" s="15"/>
    </row>
    <row r="322" spans="1:30" x14ac:dyDescent="0.25">
      <c r="A322" s="5"/>
      <c r="B322" s="5"/>
      <c r="C322" s="5"/>
      <c r="D322" s="5"/>
      <c r="E322" s="11"/>
      <c r="F322" s="6" t="s">
        <v>6</v>
      </c>
      <c r="G322" s="7"/>
      <c r="H322" s="7"/>
      <c r="I322" s="7"/>
      <c r="J322" s="18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48">
        <f>SUBTOTAL(9,Y10:Y321)</f>
        <v>2442.117225952496</v>
      </c>
      <c r="Z322" s="48">
        <f>SUBTOTAL(9,Z10:Z321)</f>
        <v>502.91845519049861</v>
      </c>
      <c r="AA322" s="48">
        <f>SUBTOTAL(9,AA10:AA321)</f>
        <v>1997.5413259524908</v>
      </c>
      <c r="AB322" s="48">
        <f>SUBTOTAL(9,AB10:AB321)</f>
        <v>570.84386929829793</v>
      </c>
      <c r="AC322" s="48">
        <f>SUBTOTAL(9,AC10:AC321)</f>
        <v>1997.5413259524908</v>
      </c>
      <c r="AD322" s="48"/>
    </row>
    <row r="323" spans="1:30" x14ac:dyDescent="0.25">
      <c r="A323" s="20"/>
      <c r="B323" s="20"/>
      <c r="C323" s="20"/>
      <c r="D323" s="20"/>
      <c r="E323" s="20"/>
      <c r="F323" s="20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</row>
    <row r="325" spans="1:30" x14ac:dyDescent="0.25">
      <c r="A325" t="s">
        <v>28</v>
      </c>
    </row>
    <row r="326" spans="1:30" x14ac:dyDescent="0.25">
      <c r="A326" t="s">
        <v>31</v>
      </c>
      <c r="Y326" s="49" t="s">
        <v>50</v>
      </c>
      <c r="Z326" s="49" t="s">
        <v>58</v>
      </c>
      <c r="AA326" s="49" t="s">
        <v>324</v>
      </c>
      <c r="AB326" s="49" t="s">
        <v>325</v>
      </c>
      <c r="AC326" s="49" t="s">
        <v>326</v>
      </c>
    </row>
  </sheetData>
  <autoFilter ref="A2:AC321" xr:uid="{4B446813-E5B4-45D2-BBEA-4E82C922A060}"/>
  <mergeCells count="33">
    <mergeCell ref="T6:T7"/>
    <mergeCell ref="E3:F3"/>
    <mergeCell ref="B5:B8"/>
    <mergeCell ref="C5:C8"/>
    <mergeCell ref="A3:D3"/>
    <mergeCell ref="D4:D8"/>
    <mergeCell ref="E4:E8"/>
    <mergeCell ref="F4:F8"/>
    <mergeCell ref="B4:C4"/>
    <mergeCell ref="A4:A8"/>
    <mergeCell ref="E9:F9"/>
    <mergeCell ref="N3:X4"/>
    <mergeCell ref="U5:X5"/>
    <mergeCell ref="U6:U7"/>
    <mergeCell ref="X6:X7"/>
    <mergeCell ref="N6:N7"/>
    <mergeCell ref="S6:S7"/>
    <mergeCell ref="P6:P7"/>
    <mergeCell ref="Q6:Q7"/>
    <mergeCell ref="V6:V7"/>
    <mergeCell ref="W6:W7"/>
    <mergeCell ref="R6:R7"/>
    <mergeCell ref="G3:M3"/>
    <mergeCell ref="G4:M4"/>
    <mergeCell ref="O6:O7"/>
    <mergeCell ref="N5:T5"/>
    <mergeCell ref="Y3:AC4"/>
    <mergeCell ref="AB6:AB7"/>
    <mergeCell ref="AC6:AC7"/>
    <mergeCell ref="AA5:AC5"/>
    <mergeCell ref="AA6:AA7"/>
    <mergeCell ref="Y5:Y7"/>
    <mergeCell ref="Z5:Z7"/>
  </mergeCells>
  <phoneticPr fontId="11" type="noConversion"/>
  <pageMargins left="0.25" right="0.25" top="0.75" bottom="0.75" header="0.3" footer="0.3"/>
  <pageSetup paperSize="9" scale="72" fitToHeight="0" orientation="landscape" r:id="rId1"/>
  <headerFooter>
    <oddHeader>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BCDB0-7EE5-4889-96C7-8D4B4853C637}">
  <sheetPr>
    <tabColor rgb="FF0070C0"/>
    <pageSetUpPr fitToPage="1"/>
  </sheetPr>
  <dimension ref="A1:AG99"/>
  <sheetViews>
    <sheetView zoomScale="115" zoomScaleNormal="115" workbookViewId="0">
      <pane ySplit="9" topLeftCell="A79" activePane="bottomLeft" state="frozen"/>
      <selection pane="bottomLeft" activeCell="AA95" sqref="AA95"/>
    </sheetView>
  </sheetViews>
  <sheetFormatPr defaultRowHeight="15" x14ac:dyDescent="0.25"/>
  <cols>
    <col min="1" max="1" width="2.85546875" customWidth="1"/>
    <col min="2" max="3" width="4.7109375" customWidth="1"/>
    <col min="4" max="5" width="5" customWidth="1"/>
    <col min="6" max="6" width="26.5703125" customWidth="1"/>
    <col min="7" max="9" width="6.28515625" customWidth="1"/>
    <col min="10" max="10" width="5.42578125" customWidth="1"/>
    <col min="11" max="25" width="6.28515625" customWidth="1"/>
    <col min="26" max="30" width="6.85546875" customWidth="1"/>
    <col min="31" max="31" width="0.7109375" customWidth="1"/>
  </cols>
  <sheetData>
    <row r="1" spans="1:33" ht="18.75" x14ac:dyDescent="0.3">
      <c r="A1" s="1" t="s">
        <v>362</v>
      </c>
      <c r="B1" s="1"/>
      <c r="C1" s="1"/>
      <c r="D1" s="1"/>
      <c r="E1" s="1"/>
      <c r="F1" s="1"/>
    </row>
    <row r="2" spans="1:33" ht="15.75" thickBot="1" x14ac:dyDescent="0.3"/>
    <row r="3" spans="1:33" ht="15" customHeight="1" x14ac:dyDescent="0.25">
      <c r="A3" s="82" t="s">
        <v>8</v>
      </c>
      <c r="B3" s="78"/>
      <c r="C3" s="78"/>
      <c r="D3" s="78"/>
      <c r="E3" s="78" t="s">
        <v>19</v>
      </c>
      <c r="F3" s="78"/>
      <c r="G3" s="72" t="s">
        <v>1</v>
      </c>
      <c r="H3" s="73"/>
      <c r="I3" s="73"/>
      <c r="J3" s="73"/>
      <c r="K3" s="73"/>
      <c r="L3" s="73"/>
      <c r="M3" s="73"/>
      <c r="N3" s="74"/>
      <c r="O3" s="56" t="s">
        <v>32</v>
      </c>
      <c r="P3" s="56"/>
      <c r="Q3" s="56"/>
      <c r="R3" s="56"/>
      <c r="S3" s="56"/>
      <c r="T3" s="56"/>
      <c r="U3" s="56"/>
      <c r="V3" s="56"/>
      <c r="W3" s="56"/>
      <c r="X3" s="56"/>
      <c r="Y3" s="57"/>
      <c r="Z3" s="55" t="s">
        <v>15</v>
      </c>
      <c r="AA3" s="56"/>
      <c r="AB3" s="56"/>
      <c r="AC3" s="56"/>
      <c r="AD3" s="57"/>
      <c r="AE3" s="4"/>
    </row>
    <row r="4" spans="1:33" x14ac:dyDescent="0.25">
      <c r="A4" s="89" t="s">
        <v>21</v>
      </c>
      <c r="B4" s="87" t="s">
        <v>78</v>
      </c>
      <c r="C4" s="88"/>
      <c r="D4" s="79" t="s">
        <v>7</v>
      </c>
      <c r="E4" s="83" t="s">
        <v>14</v>
      </c>
      <c r="F4" s="85" t="s">
        <v>0</v>
      </c>
      <c r="G4" s="75" t="s">
        <v>9</v>
      </c>
      <c r="H4" s="76"/>
      <c r="I4" s="76"/>
      <c r="J4" s="76"/>
      <c r="K4" s="76"/>
      <c r="L4" s="76"/>
      <c r="M4" s="76"/>
      <c r="N4" s="77"/>
      <c r="O4" s="59"/>
      <c r="P4" s="59"/>
      <c r="Q4" s="59"/>
      <c r="R4" s="59"/>
      <c r="S4" s="59"/>
      <c r="T4" s="59"/>
      <c r="U4" s="59"/>
      <c r="V4" s="59"/>
      <c r="W4" s="59"/>
      <c r="X4" s="59"/>
      <c r="Y4" s="60"/>
      <c r="Z4" s="58"/>
      <c r="AA4" s="59"/>
      <c r="AB4" s="59"/>
      <c r="AC4" s="59"/>
      <c r="AD4" s="60"/>
      <c r="AE4" s="8"/>
    </row>
    <row r="5" spans="1:33" ht="15" customHeight="1" x14ac:dyDescent="0.25">
      <c r="A5" s="90"/>
      <c r="B5" s="79" t="s">
        <v>79</v>
      </c>
      <c r="C5" s="79" t="s">
        <v>80</v>
      </c>
      <c r="D5" s="80"/>
      <c r="E5" s="83"/>
      <c r="F5" s="85"/>
      <c r="G5" s="14" t="s">
        <v>3</v>
      </c>
      <c r="H5" s="14" t="s">
        <v>366</v>
      </c>
      <c r="I5" s="14" t="s">
        <v>368</v>
      </c>
      <c r="J5" s="14" t="s">
        <v>371</v>
      </c>
      <c r="K5" s="14" t="s">
        <v>2</v>
      </c>
      <c r="L5" s="14" t="s">
        <v>10</v>
      </c>
      <c r="M5" s="14" t="s">
        <v>16</v>
      </c>
      <c r="N5" s="14" t="s">
        <v>17</v>
      </c>
      <c r="O5" s="69" t="s">
        <v>33</v>
      </c>
      <c r="P5" s="70"/>
      <c r="Q5" s="70"/>
      <c r="R5" s="70"/>
      <c r="S5" s="70"/>
      <c r="T5" s="70"/>
      <c r="U5" s="71"/>
      <c r="V5" s="69" t="s">
        <v>34</v>
      </c>
      <c r="W5" s="70"/>
      <c r="X5" s="70"/>
      <c r="Y5" s="71"/>
      <c r="Z5" s="66" t="s">
        <v>10</v>
      </c>
      <c r="AA5" s="66" t="s">
        <v>11</v>
      </c>
      <c r="AB5" s="63" t="s">
        <v>32</v>
      </c>
      <c r="AC5" s="64"/>
      <c r="AD5" s="65"/>
      <c r="AE5" s="8"/>
    </row>
    <row r="6" spans="1:33" ht="30" customHeight="1" x14ac:dyDescent="0.25">
      <c r="A6" s="90"/>
      <c r="B6" s="80"/>
      <c r="C6" s="80"/>
      <c r="D6" s="80"/>
      <c r="E6" s="83"/>
      <c r="F6" s="85"/>
      <c r="G6" s="93" t="s">
        <v>364</v>
      </c>
      <c r="H6" s="92" t="s">
        <v>367</v>
      </c>
      <c r="I6" s="92" t="s">
        <v>369</v>
      </c>
      <c r="J6" s="92" t="s">
        <v>372</v>
      </c>
      <c r="K6" s="92" t="s">
        <v>370</v>
      </c>
      <c r="L6" s="92" t="s">
        <v>365</v>
      </c>
      <c r="M6" s="93" t="s">
        <v>37</v>
      </c>
      <c r="N6" s="93" t="s">
        <v>37</v>
      </c>
      <c r="O6" s="61" t="s">
        <v>2</v>
      </c>
      <c r="P6" s="61" t="s">
        <v>36</v>
      </c>
      <c r="Q6" s="61" t="s">
        <v>39</v>
      </c>
      <c r="R6" s="61" t="s">
        <v>83</v>
      </c>
      <c r="S6" s="61" t="s">
        <v>84</v>
      </c>
      <c r="T6" s="61" t="s">
        <v>40</v>
      </c>
      <c r="U6" s="61" t="s">
        <v>42</v>
      </c>
      <c r="V6" s="61" t="s">
        <v>81</v>
      </c>
      <c r="W6" s="61" t="s">
        <v>82</v>
      </c>
      <c r="X6" s="61" t="s">
        <v>85</v>
      </c>
      <c r="Y6" s="61" t="s">
        <v>40</v>
      </c>
      <c r="Z6" s="67"/>
      <c r="AA6" s="67"/>
      <c r="AB6" s="61" t="s">
        <v>33</v>
      </c>
      <c r="AC6" s="61" t="s">
        <v>34</v>
      </c>
      <c r="AD6" s="61" t="s">
        <v>41</v>
      </c>
      <c r="AE6" s="8"/>
    </row>
    <row r="7" spans="1:33" x14ac:dyDescent="0.25">
      <c r="A7" s="90"/>
      <c r="B7" s="80"/>
      <c r="C7" s="80"/>
      <c r="D7" s="80"/>
      <c r="E7" s="83"/>
      <c r="F7" s="85"/>
      <c r="G7" s="93"/>
      <c r="H7" s="92"/>
      <c r="I7" s="92"/>
      <c r="J7" s="92"/>
      <c r="K7" s="92"/>
      <c r="L7" s="92"/>
      <c r="M7" s="93"/>
      <c r="N7" s="93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7"/>
      <c r="AA7" s="67"/>
      <c r="AB7" s="62"/>
      <c r="AC7" s="62"/>
      <c r="AD7" s="62"/>
      <c r="AE7" s="8"/>
    </row>
    <row r="8" spans="1:33" x14ac:dyDescent="0.25">
      <c r="A8" s="91"/>
      <c r="B8" s="81"/>
      <c r="C8" s="81"/>
      <c r="D8" s="81"/>
      <c r="E8" s="84"/>
      <c r="F8" s="86"/>
      <c r="G8" s="14" t="s">
        <v>5</v>
      </c>
      <c r="H8" s="35" t="s">
        <v>5</v>
      </c>
      <c r="I8" s="14" t="s">
        <v>5</v>
      </c>
      <c r="J8" s="14"/>
      <c r="K8" s="14" t="s">
        <v>5</v>
      </c>
      <c r="L8" s="14" t="s">
        <v>12</v>
      </c>
      <c r="M8" s="14" t="s">
        <v>12</v>
      </c>
      <c r="N8" s="14" t="s">
        <v>13</v>
      </c>
      <c r="O8" s="14" t="s">
        <v>5</v>
      </c>
      <c r="P8" s="14" t="s">
        <v>5</v>
      </c>
      <c r="Q8" s="14" t="s">
        <v>12</v>
      </c>
      <c r="R8" s="14" t="s">
        <v>12</v>
      </c>
      <c r="S8" s="14" t="s">
        <v>12</v>
      </c>
      <c r="T8" s="14" t="s">
        <v>12</v>
      </c>
      <c r="U8" s="14" t="s">
        <v>5</v>
      </c>
      <c r="V8" s="14" t="s">
        <v>12</v>
      </c>
      <c r="W8" s="14" t="s">
        <v>12</v>
      </c>
      <c r="X8" s="14" t="s">
        <v>12</v>
      </c>
      <c r="Y8" s="14" t="s">
        <v>12</v>
      </c>
      <c r="Z8" s="14" t="s">
        <v>12</v>
      </c>
      <c r="AA8" s="14" t="s">
        <v>13</v>
      </c>
      <c r="AB8" s="14" t="s">
        <v>12</v>
      </c>
      <c r="AC8" s="14" t="s">
        <v>12</v>
      </c>
      <c r="AD8" s="14" t="s">
        <v>12</v>
      </c>
      <c r="AE8" s="8"/>
    </row>
    <row r="9" spans="1:33" ht="3.75" customHeight="1" thickBot="1" x14ac:dyDescent="0.3">
      <c r="A9" s="9"/>
      <c r="B9" s="12"/>
      <c r="C9" s="12"/>
      <c r="D9" s="12"/>
      <c r="E9" s="68"/>
      <c r="F9" s="68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10"/>
    </row>
    <row r="10" spans="1:33" x14ac:dyDescent="0.25">
      <c r="A10" s="33" t="s">
        <v>23</v>
      </c>
      <c r="B10" s="32"/>
      <c r="C10" s="26"/>
      <c r="D10" s="27"/>
      <c r="E10" s="29"/>
      <c r="F10" s="28"/>
      <c r="G10" s="45"/>
      <c r="H10" s="45"/>
      <c r="I10" s="45"/>
      <c r="J10" s="53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45"/>
      <c r="V10" s="45"/>
      <c r="W10" s="45"/>
      <c r="X10" s="15"/>
      <c r="Y10" s="15"/>
      <c r="Z10" s="46" t="str">
        <f>IF((L10-M10+N10)=0,"",(L10-M10+N10))</f>
        <v/>
      </c>
      <c r="AA10" s="46" t="str">
        <f>IF((L10-M10+N10)*H10=0,"",(L10-M10+N10)*H10)</f>
        <v/>
      </c>
      <c r="AB10" s="46"/>
      <c r="AC10" s="46"/>
      <c r="AD10" s="46"/>
      <c r="AE10" s="15"/>
      <c r="AG10" s="3"/>
    </row>
    <row r="11" spans="1:33" x14ac:dyDescent="0.25">
      <c r="A11" s="25" t="s">
        <v>25</v>
      </c>
      <c r="B11" s="32"/>
      <c r="C11" s="26"/>
      <c r="D11" s="27" t="s">
        <v>374</v>
      </c>
      <c r="E11" s="29" t="s">
        <v>363</v>
      </c>
      <c r="F11" s="28"/>
      <c r="G11" s="45">
        <v>0.16</v>
      </c>
      <c r="H11" s="45">
        <v>0.2</v>
      </c>
      <c r="I11" s="45">
        <v>0.48</v>
      </c>
      <c r="J11" s="53"/>
      <c r="K11" s="15">
        <v>5.25</v>
      </c>
      <c r="L11" s="15">
        <f>(0.045+0.48)*5</f>
        <v>2.625</v>
      </c>
      <c r="M11" s="15"/>
      <c r="N11" s="15"/>
      <c r="O11" s="15"/>
      <c r="P11" s="15"/>
      <c r="Q11" s="15"/>
      <c r="R11" s="15"/>
      <c r="S11" s="15"/>
      <c r="T11" s="15"/>
      <c r="U11" s="45"/>
      <c r="V11" s="45"/>
      <c r="W11" s="45"/>
      <c r="X11" s="15"/>
      <c r="Y11" s="15"/>
      <c r="Z11" s="46">
        <f t="shared" ref="Z11:Z94" si="0">IF((L11-M11+N11)=0,"",(L11-M11+N11))</f>
        <v>2.625</v>
      </c>
      <c r="AA11" s="46">
        <f>IF((L11-M11+N11)*H11=0,"",(L11-M11+N11)*H11)</f>
        <v>0.52500000000000002</v>
      </c>
      <c r="AB11" s="46"/>
      <c r="AC11" s="46"/>
      <c r="AD11" s="46"/>
      <c r="AE11" s="15"/>
      <c r="AG11" s="3"/>
    </row>
    <row r="12" spans="1:33" x14ac:dyDescent="0.25">
      <c r="A12" s="25" t="s">
        <v>25</v>
      </c>
      <c r="B12" s="32"/>
      <c r="C12" s="26"/>
      <c r="D12" s="27"/>
      <c r="E12" s="29" t="s">
        <v>363</v>
      </c>
      <c r="F12" s="28"/>
      <c r="G12" s="45">
        <v>0.16</v>
      </c>
      <c r="H12" s="45">
        <v>0.2</v>
      </c>
      <c r="I12" s="45">
        <v>0.66</v>
      </c>
      <c r="J12" s="53"/>
      <c r="K12" s="15">
        <v>5.25</v>
      </c>
      <c r="L12" s="15">
        <f>(0.66)*5</f>
        <v>3.3000000000000003</v>
      </c>
      <c r="M12" s="15"/>
      <c r="N12" s="15"/>
      <c r="O12" s="15"/>
      <c r="P12" s="15"/>
      <c r="Q12" s="15"/>
      <c r="R12" s="15"/>
      <c r="S12" s="15"/>
      <c r="T12" s="15"/>
      <c r="U12" s="45"/>
      <c r="V12" s="45"/>
      <c r="W12" s="45"/>
      <c r="X12" s="15"/>
      <c r="Y12" s="15"/>
      <c r="Z12" s="46">
        <f t="shared" ref="Z12" si="1">IF((L12-M12+N12)=0,"",(L12-M12+N12))</f>
        <v>3.3000000000000003</v>
      </c>
      <c r="AA12" s="46">
        <f t="shared" ref="AA12:AA75" si="2">IF((L12-M12+N12)*H12=0,"",(L12-M12+N12)*H12)</f>
        <v>0.66000000000000014</v>
      </c>
      <c r="AB12" s="46"/>
      <c r="AC12" s="46"/>
      <c r="AD12" s="46"/>
      <c r="AE12" s="15"/>
      <c r="AG12" s="3"/>
    </row>
    <row r="13" spans="1:33" x14ac:dyDescent="0.25">
      <c r="A13" s="25" t="s">
        <v>25</v>
      </c>
      <c r="B13" s="32"/>
      <c r="C13" s="26"/>
      <c r="D13" s="27" t="s">
        <v>375</v>
      </c>
      <c r="E13" s="29" t="s">
        <v>363</v>
      </c>
      <c r="F13" s="28"/>
      <c r="G13" s="45">
        <v>0.16</v>
      </c>
      <c r="H13" s="45">
        <v>0.2</v>
      </c>
      <c r="I13" s="45">
        <v>0.66</v>
      </c>
      <c r="J13" s="53" t="s">
        <v>373</v>
      </c>
      <c r="K13" s="15">
        <v>5.25</v>
      </c>
      <c r="L13" s="15">
        <f>(21.155-1.19-4.32)*5</f>
        <v>78.224999999999994</v>
      </c>
      <c r="M13" s="15"/>
      <c r="N13" s="15"/>
      <c r="O13" s="15"/>
      <c r="P13" s="15"/>
      <c r="Q13" s="15"/>
      <c r="R13" s="15"/>
      <c r="S13" s="15"/>
      <c r="T13" s="15"/>
      <c r="U13" s="45"/>
      <c r="V13" s="45"/>
      <c r="W13" s="45"/>
      <c r="X13" s="15"/>
      <c r="Y13" s="15"/>
      <c r="Z13" s="46">
        <f t="shared" si="0"/>
        <v>78.224999999999994</v>
      </c>
      <c r="AA13" s="46">
        <f t="shared" si="2"/>
        <v>15.645</v>
      </c>
      <c r="AB13" s="46"/>
      <c r="AC13" s="46"/>
      <c r="AD13" s="46"/>
      <c r="AE13" s="15"/>
      <c r="AG13" s="3"/>
    </row>
    <row r="14" spans="1:33" x14ac:dyDescent="0.25">
      <c r="A14" s="25" t="s">
        <v>25</v>
      </c>
      <c r="B14" s="32"/>
      <c r="C14" s="26"/>
      <c r="D14" s="27"/>
      <c r="E14" s="29" t="s">
        <v>363</v>
      </c>
      <c r="F14" s="28"/>
      <c r="G14" s="45">
        <v>0.16</v>
      </c>
      <c r="H14" s="45">
        <v>0.2</v>
      </c>
      <c r="I14" s="45">
        <v>0.48</v>
      </c>
      <c r="J14" s="53" t="s">
        <v>373</v>
      </c>
      <c r="K14" s="15">
        <v>5.25</v>
      </c>
      <c r="L14" s="15">
        <f>(0.48*8+0.12*4)*5</f>
        <v>21.6</v>
      </c>
      <c r="M14" s="15"/>
      <c r="N14" s="15"/>
      <c r="O14" s="15"/>
      <c r="P14" s="15"/>
      <c r="Q14" s="15"/>
      <c r="R14" s="15"/>
      <c r="S14" s="15"/>
      <c r="T14" s="15"/>
      <c r="U14" s="45"/>
      <c r="V14" s="45"/>
      <c r="W14" s="45"/>
      <c r="X14" s="15"/>
      <c r="Y14" s="15"/>
      <c r="Z14" s="46">
        <f t="shared" ref="Z14" si="3">IF((L14-M14+N14)=0,"",(L14-M14+N14))</f>
        <v>21.6</v>
      </c>
      <c r="AA14" s="46">
        <f t="shared" si="2"/>
        <v>4.32</v>
      </c>
      <c r="AB14" s="46"/>
      <c r="AC14" s="46"/>
      <c r="AD14" s="46"/>
      <c r="AE14" s="15"/>
      <c r="AG14" s="3"/>
    </row>
    <row r="15" spans="1:33" x14ac:dyDescent="0.25">
      <c r="A15" s="25" t="s">
        <v>25</v>
      </c>
      <c r="B15" s="32"/>
      <c r="C15" s="26"/>
      <c r="D15" s="27" t="s">
        <v>376</v>
      </c>
      <c r="E15" s="29" t="s">
        <v>363</v>
      </c>
      <c r="F15" s="28"/>
      <c r="G15" s="45">
        <v>0.16</v>
      </c>
      <c r="H15" s="45">
        <v>0.2</v>
      </c>
      <c r="I15" s="45">
        <v>0.66</v>
      </c>
      <c r="J15" s="53" t="s">
        <v>373</v>
      </c>
      <c r="K15" s="15">
        <v>2.4500000000000002</v>
      </c>
      <c r="L15" s="15">
        <f>0.55*2.16</f>
        <v>1.1880000000000002</v>
      </c>
      <c r="M15" s="15"/>
      <c r="N15" s="15"/>
      <c r="O15" s="15"/>
      <c r="P15" s="15"/>
      <c r="Q15" s="15"/>
      <c r="R15" s="15"/>
      <c r="S15" s="15"/>
      <c r="T15" s="15"/>
      <c r="U15" s="45"/>
      <c r="V15" s="45"/>
      <c r="W15" s="45"/>
      <c r="X15" s="15"/>
      <c r="Y15" s="15"/>
      <c r="Z15" s="46">
        <f t="shared" si="0"/>
        <v>1.1880000000000002</v>
      </c>
      <c r="AA15" s="46">
        <f t="shared" si="2"/>
        <v>0.23760000000000003</v>
      </c>
      <c r="AB15" s="46"/>
      <c r="AC15" s="46"/>
      <c r="AD15" s="46"/>
      <c r="AE15" s="15"/>
      <c r="AG15" s="3"/>
    </row>
    <row r="16" spans="1:33" x14ac:dyDescent="0.25">
      <c r="A16" s="25" t="s">
        <v>25</v>
      </c>
      <c r="B16" s="32"/>
      <c r="C16" s="26"/>
      <c r="D16" s="27" t="s">
        <v>377</v>
      </c>
      <c r="E16" s="29" t="s">
        <v>363</v>
      </c>
      <c r="F16" s="28"/>
      <c r="G16" s="45">
        <v>0.16</v>
      </c>
      <c r="H16" s="45">
        <v>0.2</v>
      </c>
      <c r="I16" s="45">
        <v>0.66</v>
      </c>
      <c r="J16" s="53"/>
      <c r="K16" s="15">
        <v>2.4500000000000002</v>
      </c>
      <c r="L16" s="15">
        <f>2.25*2.16</f>
        <v>4.8600000000000003</v>
      </c>
      <c r="M16" s="15"/>
      <c r="N16" s="15"/>
      <c r="O16" s="15"/>
      <c r="P16" s="15"/>
      <c r="Q16" s="15"/>
      <c r="R16" s="15"/>
      <c r="S16" s="15"/>
      <c r="T16" s="15"/>
      <c r="U16" s="45"/>
      <c r="V16" s="45"/>
      <c r="W16" s="45"/>
      <c r="X16" s="15"/>
      <c r="Y16" s="15"/>
      <c r="Z16" s="46">
        <f t="shared" si="0"/>
        <v>4.8600000000000003</v>
      </c>
      <c r="AA16" s="46">
        <f t="shared" si="2"/>
        <v>0.97200000000000009</v>
      </c>
      <c r="AB16" s="46"/>
      <c r="AC16" s="46"/>
      <c r="AD16" s="46"/>
      <c r="AE16" s="15"/>
      <c r="AG16" s="3"/>
    </row>
    <row r="17" spans="1:33" x14ac:dyDescent="0.25">
      <c r="A17" s="25" t="s">
        <v>25</v>
      </c>
      <c r="B17" s="32"/>
      <c r="C17" s="26"/>
      <c r="D17" s="27" t="s">
        <v>378</v>
      </c>
      <c r="E17" s="29" t="s">
        <v>363</v>
      </c>
      <c r="F17" s="28"/>
      <c r="G17" s="45">
        <v>0.16</v>
      </c>
      <c r="H17" s="45">
        <v>0.2</v>
      </c>
      <c r="I17" s="45">
        <v>0.66</v>
      </c>
      <c r="J17" s="53" t="s">
        <v>373</v>
      </c>
      <c r="K17" s="15">
        <v>5.25</v>
      </c>
      <c r="L17" s="15">
        <f>(3.76-1.25)*5.005</f>
        <v>12.562549999999998</v>
      </c>
      <c r="M17" s="15"/>
      <c r="N17" s="15"/>
      <c r="O17" s="15"/>
      <c r="P17" s="15"/>
      <c r="Q17" s="15"/>
      <c r="R17" s="15"/>
      <c r="S17" s="15"/>
      <c r="T17" s="15"/>
      <c r="U17" s="45"/>
      <c r="V17" s="45"/>
      <c r="W17" s="45"/>
      <c r="X17" s="15"/>
      <c r="Y17" s="15"/>
      <c r="Z17" s="46">
        <f t="shared" si="0"/>
        <v>12.562549999999998</v>
      </c>
      <c r="AA17" s="46">
        <f t="shared" si="2"/>
        <v>2.5125099999999998</v>
      </c>
      <c r="AB17" s="46"/>
      <c r="AC17" s="46"/>
      <c r="AD17" s="46"/>
      <c r="AE17" s="15"/>
      <c r="AG17" s="3"/>
    </row>
    <row r="18" spans="1:33" x14ac:dyDescent="0.25">
      <c r="A18" s="25" t="s">
        <v>25</v>
      </c>
      <c r="B18" s="32"/>
      <c r="C18" s="26"/>
      <c r="D18" s="27" t="s">
        <v>379</v>
      </c>
      <c r="E18" s="29" t="s">
        <v>363</v>
      </c>
      <c r="F18" s="28"/>
      <c r="G18" s="45">
        <v>0.16</v>
      </c>
      <c r="H18" s="45">
        <v>0.2</v>
      </c>
      <c r="I18" s="45">
        <v>0.66</v>
      </c>
      <c r="J18" s="53"/>
      <c r="K18" s="15">
        <v>5.25</v>
      </c>
      <c r="L18" s="15">
        <f>(0.105+0.48+0.66)*5.005</f>
        <v>6.2312250000000002</v>
      </c>
      <c r="M18" s="15"/>
      <c r="N18" s="15"/>
      <c r="O18" s="15"/>
      <c r="P18" s="15"/>
      <c r="Q18" s="15"/>
      <c r="R18" s="15"/>
      <c r="S18" s="15"/>
      <c r="T18" s="15"/>
      <c r="U18" s="45"/>
      <c r="V18" s="45"/>
      <c r="W18" s="45"/>
      <c r="X18" s="15"/>
      <c r="Y18" s="15"/>
      <c r="Z18" s="46">
        <f t="shared" si="0"/>
        <v>6.2312250000000002</v>
      </c>
      <c r="AA18" s="46">
        <f t="shared" si="2"/>
        <v>1.246245</v>
      </c>
      <c r="AB18" s="46"/>
      <c r="AC18" s="46"/>
      <c r="AD18" s="46"/>
      <c r="AE18" s="15"/>
      <c r="AG18" s="3"/>
    </row>
    <row r="19" spans="1:33" x14ac:dyDescent="0.25">
      <c r="A19" s="25" t="s">
        <v>25</v>
      </c>
      <c r="B19" s="32"/>
      <c r="C19" s="26"/>
      <c r="D19" s="27" t="s">
        <v>380</v>
      </c>
      <c r="E19" s="29" t="s">
        <v>363</v>
      </c>
      <c r="F19" s="28"/>
      <c r="G19" s="45">
        <v>0.16</v>
      </c>
      <c r="H19" s="45">
        <v>0.2</v>
      </c>
      <c r="I19" s="45">
        <v>0.48</v>
      </c>
      <c r="J19" s="53"/>
      <c r="K19" s="15">
        <v>4</v>
      </c>
      <c r="L19" s="15">
        <f>2.65*3.76</f>
        <v>9.9639999999999986</v>
      </c>
      <c r="M19" s="15"/>
      <c r="N19" s="15"/>
      <c r="O19" s="15"/>
      <c r="P19" s="15"/>
      <c r="Q19" s="15"/>
      <c r="R19" s="15"/>
      <c r="S19" s="15"/>
      <c r="T19" s="15"/>
      <c r="U19" s="45"/>
      <c r="V19" s="45"/>
      <c r="W19" s="45"/>
      <c r="X19" s="15"/>
      <c r="Y19" s="15"/>
      <c r="Z19" s="46">
        <f t="shared" si="0"/>
        <v>9.9639999999999986</v>
      </c>
      <c r="AA19" s="46">
        <f t="shared" si="2"/>
        <v>1.9927999999999999</v>
      </c>
      <c r="AB19" s="46"/>
      <c r="AC19" s="46"/>
      <c r="AD19" s="46"/>
      <c r="AE19" s="15"/>
      <c r="AG19" s="3"/>
    </row>
    <row r="20" spans="1:33" x14ac:dyDescent="0.25">
      <c r="A20" s="25" t="s">
        <v>25</v>
      </c>
      <c r="B20" s="32"/>
      <c r="C20" s="26"/>
      <c r="D20" s="27" t="s">
        <v>381</v>
      </c>
      <c r="E20" s="29" t="s">
        <v>363</v>
      </c>
      <c r="F20" s="28"/>
      <c r="G20" s="45">
        <v>0.16</v>
      </c>
      <c r="H20" s="45">
        <v>0.2</v>
      </c>
      <c r="I20" s="45">
        <v>0.66</v>
      </c>
      <c r="J20" s="53" t="s">
        <v>373</v>
      </c>
      <c r="K20" s="15">
        <v>5.25</v>
      </c>
      <c r="L20" s="15">
        <f>(31.47-8.33)*5.025</f>
        <v>116.27850000000001</v>
      </c>
      <c r="M20" s="15"/>
      <c r="N20" s="15"/>
      <c r="O20" s="15"/>
      <c r="P20" s="15"/>
      <c r="Q20" s="15"/>
      <c r="R20" s="15"/>
      <c r="S20" s="15"/>
      <c r="T20" s="15"/>
      <c r="U20" s="45"/>
      <c r="V20" s="45"/>
      <c r="W20" s="45"/>
      <c r="X20" s="15"/>
      <c r="Y20" s="15"/>
      <c r="Z20" s="46">
        <f t="shared" si="0"/>
        <v>116.27850000000001</v>
      </c>
      <c r="AA20" s="46">
        <f t="shared" si="2"/>
        <v>23.255700000000004</v>
      </c>
      <c r="AB20" s="46"/>
      <c r="AC20" s="46"/>
      <c r="AD20" s="46"/>
      <c r="AE20" s="15"/>
      <c r="AG20" s="3"/>
    </row>
    <row r="21" spans="1:33" x14ac:dyDescent="0.25">
      <c r="A21" s="25" t="s">
        <v>25</v>
      </c>
      <c r="B21" s="32"/>
      <c r="C21" s="26"/>
      <c r="D21" s="27"/>
      <c r="E21" s="29" t="s">
        <v>363</v>
      </c>
      <c r="F21" s="28"/>
      <c r="G21" s="45">
        <v>0.16</v>
      </c>
      <c r="H21" s="45">
        <v>0.2</v>
      </c>
      <c r="I21" s="45">
        <v>0.48</v>
      </c>
      <c r="J21" s="53" t="s">
        <v>373</v>
      </c>
      <c r="K21" s="15">
        <v>5.25</v>
      </c>
      <c r="L21" s="15">
        <f>(0.48*16+0.12*2+0.36+0.045)*5.025</f>
        <v>41.833125000000003</v>
      </c>
      <c r="M21" s="15"/>
      <c r="N21" s="15"/>
      <c r="O21" s="15"/>
      <c r="P21" s="15"/>
      <c r="Q21" s="15"/>
      <c r="R21" s="15"/>
      <c r="S21" s="15"/>
      <c r="T21" s="15"/>
      <c r="U21" s="45"/>
      <c r="V21" s="45"/>
      <c r="W21" s="45"/>
      <c r="X21" s="15"/>
      <c r="Y21" s="15"/>
      <c r="Z21" s="46">
        <f t="shared" ref="Z21" si="4">IF((L21-M21+N21)=0,"",(L21-M21+N21))</f>
        <v>41.833125000000003</v>
      </c>
      <c r="AA21" s="46">
        <f t="shared" si="2"/>
        <v>8.3666250000000009</v>
      </c>
      <c r="AB21" s="46"/>
      <c r="AC21" s="46"/>
      <c r="AD21" s="46"/>
      <c r="AE21" s="15"/>
      <c r="AG21" s="3"/>
    </row>
    <row r="22" spans="1:33" x14ac:dyDescent="0.25">
      <c r="A22" s="25" t="s">
        <v>25</v>
      </c>
      <c r="B22" s="32"/>
      <c r="C22" s="26"/>
      <c r="D22" s="27" t="s">
        <v>382</v>
      </c>
      <c r="E22" s="29" t="s">
        <v>363</v>
      </c>
      <c r="F22" s="28"/>
      <c r="G22" s="45">
        <v>0.16</v>
      </c>
      <c r="H22" s="45">
        <v>0.2</v>
      </c>
      <c r="I22" s="45">
        <v>0.66</v>
      </c>
      <c r="J22" s="53" t="s">
        <v>373</v>
      </c>
      <c r="K22" s="15">
        <v>4.7</v>
      </c>
      <c r="L22" s="15">
        <f>(28.24-9.33)*4.475</f>
        <v>84.62224999999998</v>
      </c>
      <c r="M22" s="15"/>
      <c r="N22" s="15"/>
      <c r="O22" s="15"/>
      <c r="P22" s="15"/>
      <c r="Q22" s="15"/>
      <c r="R22" s="15"/>
      <c r="S22" s="15"/>
      <c r="T22" s="15"/>
      <c r="U22" s="45"/>
      <c r="V22" s="45"/>
      <c r="W22" s="45"/>
      <c r="X22" s="15"/>
      <c r="Y22" s="15"/>
      <c r="Z22" s="46">
        <f t="shared" si="0"/>
        <v>84.62224999999998</v>
      </c>
      <c r="AA22" s="46">
        <f t="shared" si="2"/>
        <v>16.924449999999997</v>
      </c>
      <c r="AB22" s="46"/>
      <c r="AC22" s="46"/>
      <c r="AD22" s="46"/>
      <c r="AE22" s="15"/>
      <c r="AG22" s="3"/>
    </row>
    <row r="23" spans="1:33" x14ac:dyDescent="0.25">
      <c r="A23" s="25" t="s">
        <v>25</v>
      </c>
      <c r="B23" s="32"/>
      <c r="C23" s="26"/>
      <c r="D23" s="27"/>
      <c r="E23" s="29" t="s">
        <v>363</v>
      </c>
      <c r="F23" s="28"/>
      <c r="G23" s="45">
        <v>0.16</v>
      </c>
      <c r="H23" s="45">
        <v>0.2</v>
      </c>
      <c r="I23" s="45">
        <v>0.48</v>
      </c>
      <c r="J23" s="53" t="s">
        <v>373</v>
      </c>
      <c r="K23" s="15">
        <v>4.7</v>
      </c>
      <c r="L23" s="15">
        <f>(0.48*12+0.22+0.18*2+0.22+0.14+0.24+0.25+0.36+0.23+0.105+0.12*12)*4.475</f>
        <v>41.729375000000005</v>
      </c>
      <c r="M23" s="15">
        <f>2.51*0.35*2</f>
        <v>1.7569999999999997</v>
      </c>
      <c r="N23" s="15"/>
      <c r="O23" s="15"/>
      <c r="P23" s="15"/>
      <c r="Q23" s="15"/>
      <c r="R23" s="15"/>
      <c r="S23" s="15"/>
      <c r="T23" s="15"/>
      <c r="U23" s="45"/>
      <c r="V23" s="45"/>
      <c r="W23" s="45"/>
      <c r="X23" s="15"/>
      <c r="Y23" s="15"/>
      <c r="Z23" s="46">
        <f t="shared" ref="Z23:Z27" si="5">IF((L23-M23+N23)=0,"",(L23-M23+N23))</f>
        <v>39.972375000000007</v>
      </c>
      <c r="AA23" s="46">
        <f t="shared" si="2"/>
        <v>7.9944750000000013</v>
      </c>
      <c r="AB23" s="46"/>
      <c r="AC23" s="46"/>
      <c r="AD23" s="46"/>
      <c r="AE23" s="15"/>
      <c r="AG23" s="3"/>
    </row>
    <row r="24" spans="1:33" x14ac:dyDescent="0.25">
      <c r="A24" s="25" t="s">
        <v>25</v>
      </c>
      <c r="B24" s="32"/>
      <c r="C24" s="26"/>
      <c r="D24" s="27" t="s">
        <v>383</v>
      </c>
      <c r="E24" s="29" t="s">
        <v>363</v>
      </c>
      <c r="F24" s="28"/>
      <c r="G24" s="45">
        <v>0.16</v>
      </c>
      <c r="H24" s="45">
        <v>0.2</v>
      </c>
      <c r="I24" s="45">
        <v>0.48</v>
      </c>
      <c r="J24" s="53"/>
      <c r="K24" s="15">
        <v>3.15</v>
      </c>
      <c r="L24" s="15">
        <f>1.34*3.02</f>
        <v>4.0468000000000002</v>
      </c>
      <c r="M24" s="15"/>
      <c r="N24" s="15"/>
      <c r="O24" s="15"/>
      <c r="P24" s="15"/>
      <c r="Q24" s="15"/>
      <c r="R24" s="15"/>
      <c r="S24" s="15"/>
      <c r="T24" s="15"/>
      <c r="U24" s="45"/>
      <c r="V24" s="45"/>
      <c r="W24" s="45"/>
      <c r="X24" s="15"/>
      <c r="Y24" s="15"/>
      <c r="Z24" s="46">
        <f t="shared" si="5"/>
        <v>4.0468000000000002</v>
      </c>
      <c r="AA24" s="46">
        <f t="shared" si="2"/>
        <v>0.80936000000000008</v>
      </c>
      <c r="AB24" s="46"/>
      <c r="AC24" s="46"/>
      <c r="AD24" s="46"/>
      <c r="AE24" s="15"/>
      <c r="AG24" s="3"/>
    </row>
    <row r="25" spans="1:33" x14ac:dyDescent="0.25">
      <c r="A25" s="25" t="s">
        <v>25</v>
      </c>
      <c r="B25" s="32"/>
      <c r="C25" s="26"/>
      <c r="D25" s="27" t="s">
        <v>384</v>
      </c>
      <c r="E25" s="29" t="s">
        <v>363</v>
      </c>
      <c r="F25" s="28"/>
      <c r="G25" s="45">
        <v>0.16</v>
      </c>
      <c r="H25" s="45">
        <v>0.2</v>
      </c>
      <c r="I25" s="45">
        <v>0.66</v>
      </c>
      <c r="J25" s="53" t="s">
        <v>373</v>
      </c>
      <c r="K25" s="15">
        <v>5.9</v>
      </c>
      <c r="L25" s="15">
        <f>(21.155-4.17-1.19)*5.695</f>
        <v>89.952525000000009</v>
      </c>
      <c r="M25" s="15"/>
      <c r="N25" s="15"/>
      <c r="O25" s="15"/>
      <c r="P25" s="15"/>
      <c r="Q25" s="15"/>
      <c r="R25" s="15"/>
      <c r="S25" s="15"/>
      <c r="T25" s="15"/>
      <c r="U25" s="45"/>
      <c r="V25" s="45"/>
      <c r="W25" s="45"/>
      <c r="X25" s="15"/>
      <c r="Y25" s="15"/>
      <c r="Z25" s="46">
        <f t="shared" si="5"/>
        <v>89.952525000000009</v>
      </c>
      <c r="AA25" s="46">
        <f t="shared" si="2"/>
        <v>17.990505000000002</v>
      </c>
      <c r="AB25" s="46"/>
      <c r="AC25" s="46"/>
      <c r="AD25" s="46"/>
      <c r="AE25" s="15"/>
      <c r="AG25" s="3"/>
    </row>
    <row r="26" spans="1:33" x14ac:dyDescent="0.25">
      <c r="A26" s="25" t="s">
        <v>25</v>
      </c>
      <c r="B26" s="32"/>
      <c r="C26" s="26"/>
      <c r="D26" s="27"/>
      <c r="E26" s="29" t="s">
        <v>363</v>
      </c>
      <c r="F26" s="28"/>
      <c r="G26" s="45">
        <v>0.16</v>
      </c>
      <c r="H26" s="45">
        <v>0.2</v>
      </c>
      <c r="I26" s="45">
        <v>0.48</v>
      </c>
      <c r="J26" s="53" t="s">
        <v>373</v>
      </c>
      <c r="K26" s="15">
        <v>5.9</v>
      </c>
      <c r="L26" s="15">
        <f>(0.48*6+0.325+0.18*2+0.12*5)*5.695</f>
        <v>23.719675000000002</v>
      </c>
      <c r="M26" s="15">
        <f>2.51*0.35</f>
        <v>0.87849999999999984</v>
      </c>
      <c r="N26" s="15"/>
      <c r="O26" s="15"/>
      <c r="P26" s="15"/>
      <c r="Q26" s="15"/>
      <c r="R26" s="15"/>
      <c r="S26" s="15"/>
      <c r="T26" s="15"/>
      <c r="U26" s="45"/>
      <c r="V26" s="45"/>
      <c r="W26" s="45"/>
      <c r="X26" s="15"/>
      <c r="Y26" s="15"/>
      <c r="Z26" s="46">
        <f t="shared" si="5"/>
        <v>22.841175000000003</v>
      </c>
      <c r="AA26" s="46">
        <f t="shared" si="2"/>
        <v>4.5682350000000005</v>
      </c>
      <c r="AB26" s="46"/>
      <c r="AC26" s="46"/>
      <c r="AD26" s="46"/>
      <c r="AE26" s="15"/>
      <c r="AG26" s="3"/>
    </row>
    <row r="27" spans="1:33" x14ac:dyDescent="0.25">
      <c r="A27" s="25" t="s">
        <v>25</v>
      </c>
      <c r="B27" s="32"/>
      <c r="C27" s="26"/>
      <c r="D27" s="27" t="s">
        <v>385</v>
      </c>
      <c r="E27" s="29" t="s">
        <v>363</v>
      </c>
      <c r="F27" s="28"/>
      <c r="G27" s="45">
        <v>0.16</v>
      </c>
      <c r="H27" s="45">
        <v>0.2</v>
      </c>
      <c r="I27" s="45">
        <v>0.66</v>
      </c>
      <c r="J27" s="53"/>
      <c r="K27" s="15">
        <v>5.9</v>
      </c>
      <c r="L27" s="15">
        <f>(0.66+0.485+0.045)*5.695</f>
        <v>6.77705</v>
      </c>
      <c r="M27" s="15"/>
      <c r="N27" s="15"/>
      <c r="O27" s="15"/>
      <c r="P27" s="15"/>
      <c r="Q27" s="15"/>
      <c r="R27" s="15"/>
      <c r="S27" s="15"/>
      <c r="T27" s="15"/>
      <c r="U27" s="45"/>
      <c r="V27" s="45"/>
      <c r="W27" s="45"/>
      <c r="X27" s="15"/>
      <c r="Y27" s="15"/>
      <c r="Z27" s="46">
        <f t="shared" si="5"/>
        <v>6.77705</v>
      </c>
      <c r="AA27" s="46">
        <f t="shared" si="2"/>
        <v>1.35541</v>
      </c>
      <c r="AB27" s="46"/>
      <c r="AC27" s="46"/>
      <c r="AD27" s="46"/>
      <c r="AE27" s="15"/>
      <c r="AG27" s="3"/>
    </row>
    <row r="28" spans="1:33" x14ac:dyDescent="0.25">
      <c r="A28" s="25" t="s">
        <v>25</v>
      </c>
      <c r="B28" s="32"/>
      <c r="C28" s="26"/>
      <c r="D28" s="27" t="s">
        <v>391</v>
      </c>
      <c r="E28" s="29" t="s">
        <v>363</v>
      </c>
      <c r="F28" s="28"/>
      <c r="G28" s="45">
        <v>0.16</v>
      </c>
      <c r="H28" s="45">
        <v>0.2</v>
      </c>
      <c r="I28" s="45">
        <v>0.66</v>
      </c>
      <c r="J28" s="53" t="s">
        <v>373</v>
      </c>
      <c r="K28" s="15">
        <v>5.25</v>
      </c>
      <c r="L28" s="15">
        <f>(12.6-0.54-1.08-2.16)*5.005</f>
        <v>44.144099999999995</v>
      </c>
      <c r="M28" s="15"/>
      <c r="N28" s="15"/>
      <c r="O28" s="15"/>
      <c r="P28" s="15"/>
      <c r="Q28" s="15"/>
      <c r="R28" s="15"/>
      <c r="S28" s="15"/>
      <c r="T28" s="15"/>
      <c r="U28" s="45"/>
      <c r="V28" s="45"/>
      <c r="W28" s="45"/>
      <c r="X28" s="15"/>
      <c r="Y28" s="15"/>
      <c r="Z28" s="46">
        <f t="shared" si="0"/>
        <v>44.144099999999995</v>
      </c>
      <c r="AA28" s="46">
        <f t="shared" si="2"/>
        <v>8.8288199999999986</v>
      </c>
      <c r="AB28" s="46"/>
      <c r="AC28" s="46"/>
      <c r="AD28" s="46"/>
      <c r="AE28" s="15"/>
      <c r="AG28" s="3"/>
    </row>
    <row r="29" spans="1:33" x14ac:dyDescent="0.25">
      <c r="A29" s="25" t="s">
        <v>25</v>
      </c>
      <c r="B29" s="32"/>
      <c r="C29" s="26"/>
      <c r="D29" s="27"/>
      <c r="E29" s="29" t="s">
        <v>363</v>
      </c>
      <c r="F29" s="28"/>
      <c r="G29" s="45">
        <v>0.16</v>
      </c>
      <c r="H29" s="45">
        <v>0.2</v>
      </c>
      <c r="I29" s="45">
        <v>0.48</v>
      </c>
      <c r="J29" s="53" t="s">
        <v>373</v>
      </c>
      <c r="K29" s="15">
        <v>5.25</v>
      </c>
      <c r="L29" s="15">
        <f>(0.48*4+0.12*2)*5.005</f>
        <v>10.8108</v>
      </c>
      <c r="M29" s="15"/>
      <c r="N29" s="15"/>
      <c r="O29" s="15"/>
      <c r="P29" s="15"/>
      <c r="Q29" s="15"/>
      <c r="R29" s="15"/>
      <c r="S29" s="15"/>
      <c r="T29" s="15"/>
      <c r="U29" s="45"/>
      <c r="V29" s="45"/>
      <c r="W29" s="45"/>
      <c r="X29" s="15"/>
      <c r="Y29" s="15"/>
      <c r="Z29" s="46">
        <f t="shared" ref="Z29:Z43" si="6">IF((L29-M29+N29)=0,"",(L29-M29+N29))</f>
        <v>10.8108</v>
      </c>
      <c r="AA29" s="46">
        <f t="shared" si="2"/>
        <v>2.1621600000000001</v>
      </c>
      <c r="AB29" s="46"/>
      <c r="AC29" s="46"/>
      <c r="AD29" s="46"/>
      <c r="AE29" s="15"/>
      <c r="AG29" s="3"/>
    </row>
    <row r="30" spans="1:33" x14ac:dyDescent="0.25">
      <c r="A30" s="25" t="s">
        <v>25</v>
      </c>
      <c r="B30" s="32"/>
      <c r="C30" s="26"/>
      <c r="D30" s="27" t="s">
        <v>392</v>
      </c>
      <c r="E30" s="29" t="s">
        <v>363</v>
      </c>
      <c r="F30" s="28"/>
      <c r="G30" s="45">
        <v>0.16</v>
      </c>
      <c r="H30" s="45">
        <v>0.2</v>
      </c>
      <c r="I30" s="45">
        <v>0.66</v>
      </c>
      <c r="J30" s="53"/>
      <c r="K30" s="15">
        <v>5.25</v>
      </c>
      <c r="L30" s="15">
        <f>1.08*5.005</f>
        <v>5.4054000000000002</v>
      </c>
      <c r="M30" s="15"/>
      <c r="N30" s="15"/>
      <c r="O30" s="15"/>
      <c r="P30" s="15"/>
      <c r="Q30" s="15"/>
      <c r="R30" s="15"/>
      <c r="S30" s="15"/>
      <c r="T30" s="15"/>
      <c r="U30" s="45"/>
      <c r="V30" s="45"/>
      <c r="W30" s="45"/>
      <c r="X30" s="15"/>
      <c r="Y30" s="15"/>
      <c r="Z30" s="46">
        <f t="shared" si="6"/>
        <v>5.4054000000000002</v>
      </c>
      <c r="AA30" s="46">
        <f t="shared" si="2"/>
        <v>1.08108</v>
      </c>
      <c r="AB30" s="46"/>
      <c r="AC30" s="46"/>
      <c r="AD30" s="46"/>
      <c r="AE30" s="15"/>
      <c r="AG30" s="3"/>
    </row>
    <row r="31" spans="1:33" x14ac:dyDescent="0.25">
      <c r="A31" s="25" t="s">
        <v>25</v>
      </c>
      <c r="B31" s="32"/>
      <c r="C31" s="26"/>
      <c r="D31" s="27" t="s">
        <v>393</v>
      </c>
      <c r="E31" s="29" t="s">
        <v>363</v>
      </c>
      <c r="F31" s="28"/>
      <c r="G31" s="45">
        <v>0.16</v>
      </c>
      <c r="H31" s="45">
        <v>0.2</v>
      </c>
      <c r="I31" s="45">
        <v>0.66</v>
      </c>
      <c r="J31" s="53"/>
      <c r="K31" s="15">
        <v>2.4500000000000002</v>
      </c>
      <c r="L31" s="15">
        <f>0.5*2.16</f>
        <v>1.08</v>
      </c>
      <c r="M31" s="15"/>
      <c r="N31" s="15"/>
      <c r="O31" s="15"/>
      <c r="P31" s="15"/>
      <c r="Q31" s="15"/>
      <c r="R31" s="15"/>
      <c r="S31" s="15"/>
      <c r="T31" s="15"/>
      <c r="U31" s="45"/>
      <c r="V31" s="45"/>
      <c r="W31" s="45"/>
      <c r="X31" s="15"/>
      <c r="Y31" s="15"/>
      <c r="Z31" s="46">
        <f t="shared" si="6"/>
        <v>1.08</v>
      </c>
      <c r="AA31" s="46">
        <f t="shared" si="2"/>
        <v>0.21600000000000003</v>
      </c>
      <c r="AB31" s="46"/>
      <c r="AC31" s="46"/>
      <c r="AD31" s="46"/>
      <c r="AE31" s="15"/>
      <c r="AG31" s="3"/>
    </row>
    <row r="32" spans="1:33" x14ac:dyDescent="0.25">
      <c r="A32" s="25" t="s">
        <v>25</v>
      </c>
      <c r="B32" s="32"/>
      <c r="C32" s="26"/>
      <c r="D32" s="27" t="s">
        <v>394</v>
      </c>
      <c r="E32" s="29" t="s">
        <v>363</v>
      </c>
      <c r="F32" s="28"/>
      <c r="G32" s="45">
        <v>0.16</v>
      </c>
      <c r="H32" s="45">
        <v>0.2</v>
      </c>
      <c r="I32" s="45">
        <v>0.66</v>
      </c>
      <c r="J32" s="53"/>
      <c r="K32" s="15">
        <v>2.4500000000000002</v>
      </c>
      <c r="L32" s="15">
        <f>2.06*2.16</f>
        <v>4.4496000000000002</v>
      </c>
      <c r="M32" s="15"/>
      <c r="N32" s="15"/>
      <c r="O32" s="15"/>
      <c r="P32" s="15"/>
      <c r="Q32" s="15"/>
      <c r="R32" s="15"/>
      <c r="S32" s="15"/>
      <c r="T32" s="15"/>
      <c r="U32" s="45"/>
      <c r="V32" s="45"/>
      <c r="W32" s="45"/>
      <c r="X32" s="15"/>
      <c r="Y32" s="15"/>
      <c r="Z32" s="46">
        <f t="shared" si="6"/>
        <v>4.4496000000000002</v>
      </c>
      <c r="AA32" s="46">
        <f t="shared" si="2"/>
        <v>0.88992000000000004</v>
      </c>
      <c r="AB32" s="46"/>
      <c r="AC32" s="46"/>
      <c r="AD32" s="46"/>
      <c r="AE32" s="15"/>
      <c r="AG32" s="3"/>
    </row>
    <row r="33" spans="1:33" x14ac:dyDescent="0.25">
      <c r="A33" s="25" t="s">
        <v>25</v>
      </c>
      <c r="B33" s="32"/>
      <c r="C33" s="26"/>
      <c r="D33" s="27" t="s">
        <v>395</v>
      </c>
      <c r="E33" s="29" t="s">
        <v>363</v>
      </c>
      <c r="F33" s="28"/>
      <c r="G33" s="45">
        <v>0.16</v>
      </c>
      <c r="H33" s="45">
        <v>0.2</v>
      </c>
      <c r="I33" s="45">
        <v>0.66</v>
      </c>
      <c r="J33" s="53" t="s">
        <v>373</v>
      </c>
      <c r="K33" s="15">
        <v>5.25</v>
      </c>
      <c r="L33" s="15">
        <f>3.96*5.005</f>
        <v>19.819800000000001</v>
      </c>
      <c r="M33" s="15"/>
      <c r="N33" s="15"/>
      <c r="O33" s="15"/>
      <c r="P33" s="15"/>
      <c r="Q33" s="15"/>
      <c r="R33" s="15"/>
      <c r="S33" s="15"/>
      <c r="T33" s="15"/>
      <c r="U33" s="45"/>
      <c r="V33" s="45"/>
      <c r="W33" s="45"/>
      <c r="X33" s="15"/>
      <c r="Y33" s="15"/>
      <c r="Z33" s="46">
        <f t="shared" si="6"/>
        <v>19.819800000000001</v>
      </c>
      <c r="AA33" s="46">
        <f t="shared" si="2"/>
        <v>3.9639600000000002</v>
      </c>
      <c r="AB33" s="46"/>
      <c r="AC33" s="46"/>
      <c r="AD33" s="46"/>
      <c r="AE33" s="15"/>
      <c r="AG33" s="3"/>
    </row>
    <row r="34" spans="1:33" x14ac:dyDescent="0.25">
      <c r="A34" s="25" t="s">
        <v>25</v>
      </c>
      <c r="B34" s="32"/>
      <c r="C34" s="26"/>
      <c r="D34" s="27" t="s">
        <v>396</v>
      </c>
      <c r="E34" s="29" t="s">
        <v>363</v>
      </c>
      <c r="F34" s="28"/>
      <c r="G34" s="45">
        <v>0.16</v>
      </c>
      <c r="H34" s="45">
        <v>0.2</v>
      </c>
      <c r="I34" s="45">
        <v>0.66</v>
      </c>
      <c r="J34" s="53"/>
      <c r="K34" s="15">
        <v>4.2</v>
      </c>
      <c r="L34" s="15">
        <f>2.65*3.96</f>
        <v>10.494</v>
      </c>
      <c r="M34" s="15"/>
      <c r="N34" s="15"/>
      <c r="O34" s="15"/>
      <c r="P34" s="15"/>
      <c r="Q34" s="15"/>
      <c r="R34" s="15"/>
      <c r="S34" s="15"/>
      <c r="T34" s="15"/>
      <c r="U34" s="45"/>
      <c r="V34" s="45"/>
      <c r="W34" s="45"/>
      <c r="X34" s="15"/>
      <c r="Y34" s="15"/>
      <c r="Z34" s="46">
        <f t="shared" si="6"/>
        <v>10.494</v>
      </c>
      <c r="AA34" s="46">
        <f t="shared" si="2"/>
        <v>2.0988000000000002</v>
      </c>
      <c r="AB34" s="46"/>
      <c r="AC34" s="46"/>
      <c r="AD34" s="46"/>
      <c r="AE34" s="15"/>
      <c r="AG34" s="3"/>
    </row>
    <row r="35" spans="1:33" x14ac:dyDescent="0.25">
      <c r="A35" s="25" t="s">
        <v>25</v>
      </c>
      <c r="B35" s="32"/>
      <c r="C35" s="26"/>
      <c r="D35" s="27" t="s">
        <v>397</v>
      </c>
      <c r="E35" s="29" t="s">
        <v>363</v>
      </c>
      <c r="F35" s="28"/>
      <c r="G35" s="45">
        <v>0.16</v>
      </c>
      <c r="H35" s="45">
        <v>0.2</v>
      </c>
      <c r="I35" s="45">
        <v>0.66</v>
      </c>
      <c r="J35" s="53" t="s">
        <v>373</v>
      </c>
      <c r="K35" s="15">
        <v>5.25</v>
      </c>
      <c r="L35" s="15">
        <f>(14.475-5.88)*5.03</f>
        <v>43.232849999999999</v>
      </c>
      <c r="M35" s="15"/>
      <c r="N35" s="15"/>
      <c r="O35" s="15"/>
      <c r="P35" s="15"/>
      <c r="Q35" s="15"/>
      <c r="R35" s="15"/>
      <c r="S35" s="15"/>
      <c r="T35" s="15"/>
      <c r="U35" s="45"/>
      <c r="V35" s="45"/>
      <c r="W35" s="45"/>
      <c r="X35" s="15"/>
      <c r="Y35" s="15"/>
      <c r="Z35" s="46">
        <f t="shared" si="6"/>
        <v>43.232849999999999</v>
      </c>
      <c r="AA35" s="46">
        <f t="shared" si="2"/>
        <v>8.6465700000000005</v>
      </c>
      <c r="AB35" s="46"/>
      <c r="AC35" s="46"/>
      <c r="AD35" s="46"/>
      <c r="AE35" s="15"/>
      <c r="AG35" s="3"/>
    </row>
    <row r="36" spans="1:33" x14ac:dyDescent="0.25">
      <c r="A36" s="25" t="s">
        <v>25</v>
      </c>
      <c r="B36" s="32"/>
      <c r="C36" s="26"/>
      <c r="D36" s="27"/>
      <c r="E36" s="29" t="s">
        <v>363</v>
      </c>
      <c r="F36" s="28"/>
      <c r="G36" s="45">
        <v>0.16</v>
      </c>
      <c r="H36" s="45">
        <v>0.2</v>
      </c>
      <c r="I36" s="45">
        <v>0.48</v>
      </c>
      <c r="J36" s="53" t="s">
        <v>373</v>
      </c>
      <c r="K36" s="15">
        <v>5.25</v>
      </c>
      <c r="L36" s="15">
        <f>(0.48*10+0.12*7+0.24)*5.03</f>
        <v>29.5764</v>
      </c>
      <c r="M36" s="15"/>
      <c r="N36" s="15"/>
      <c r="O36" s="15"/>
      <c r="P36" s="15"/>
      <c r="Q36" s="15"/>
      <c r="R36" s="15"/>
      <c r="S36" s="15"/>
      <c r="T36" s="15"/>
      <c r="U36" s="45"/>
      <c r="V36" s="45"/>
      <c r="W36" s="45"/>
      <c r="X36" s="15"/>
      <c r="Y36" s="15"/>
      <c r="Z36" s="46">
        <f t="shared" si="6"/>
        <v>29.5764</v>
      </c>
      <c r="AA36" s="46">
        <f t="shared" si="2"/>
        <v>5.9152800000000001</v>
      </c>
      <c r="AB36" s="46"/>
      <c r="AC36" s="46"/>
      <c r="AD36" s="46"/>
      <c r="AE36" s="15"/>
      <c r="AG36" s="3"/>
    </row>
    <row r="37" spans="1:33" x14ac:dyDescent="0.25">
      <c r="A37" s="25" t="s">
        <v>25</v>
      </c>
      <c r="B37" s="32"/>
      <c r="C37" s="26"/>
      <c r="D37" s="27" t="s">
        <v>398</v>
      </c>
      <c r="E37" s="29" t="s">
        <v>363</v>
      </c>
      <c r="F37" s="28"/>
      <c r="G37" s="45">
        <v>0.16</v>
      </c>
      <c r="H37" s="45">
        <v>0.2</v>
      </c>
      <c r="I37" s="45">
        <v>0.48</v>
      </c>
      <c r="J37" s="53"/>
      <c r="K37" s="15">
        <v>5.0999999999999996</v>
      </c>
      <c r="L37" s="15">
        <f>(0.06+0.48+0.66)*4.89</f>
        <v>5.8680000000000003</v>
      </c>
      <c r="M37" s="15"/>
      <c r="N37" s="15"/>
      <c r="O37" s="15"/>
      <c r="P37" s="15"/>
      <c r="Q37" s="15"/>
      <c r="R37" s="15"/>
      <c r="S37" s="15"/>
      <c r="T37" s="15"/>
      <c r="U37" s="45"/>
      <c r="V37" s="45"/>
      <c r="W37" s="45"/>
      <c r="X37" s="15"/>
      <c r="Y37" s="15"/>
      <c r="Z37" s="46">
        <f t="shared" ref="Z37" si="7">IF((L37-M37+N37)=0,"",(L37-M37+N37))</f>
        <v>5.8680000000000003</v>
      </c>
      <c r="AA37" s="46">
        <f t="shared" si="2"/>
        <v>1.1736000000000002</v>
      </c>
      <c r="AB37" s="46"/>
      <c r="AC37" s="46"/>
      <c r="AD37" s="46"/>
      <c r="AE37" s="15"/>
      <c r="AG37" s="3"/>
    </row>
    <row r="38" spans="1:33" x14ac:dyDescent="0.25">
      <c r="A38" s="25" t="s">
        <v>25</v>
      </c>
      <c r="B38" s="32"/>
      <c r="C38" s="26"/>
      <c r="D38" s="27" t="s">
        <v>399</v>
      </c>
      <c r="E38" s="29" t="s">
        <v>363</v>
      </c>
      <c r="F38" s="28"/>
      <c r="G38" s="45">
        <v>0.16</v>
      </c>
      <c r="H38" s="45">
        <v>0.2</v>
      </c>
      <c r="I38" s="45">
        <v>0.66</v>
      </c>
      <c r="J38" s="53" t="s">
        <v>373</v>
      </c>
      <c r="K38" s="15">
        <v>5.0999999999999996</v>
      </c>
      <c r="L38" s="15">
        <f>(12.61-1.2-2.4)*4.89</f>
        <v>44.058899999999994</v>
      </c>
      <c r="M38" s="15"/>
      <c r="N38" s="15"/>
      <c r="O38" s="15"/>
      <c r="P38" s="15"/>
      <c r="Q38" s="15"/>
      <c r="R38" s="15"/>
      <c r="S38" s="15"/>
      <c r="T38" s="15"/>
      <c r="U38" s="45"/>
      <c r="V38" s="45"/>
      <c r="W38" s="45"/>
      <c r="X38" s="15"/>
      <c r="Y38" s="15"/>
      <c r="Z38" s="46">
        <f t="shared" si="6"/>
        <v>44.058899999999994</v>
      </c>
      <c r="AA38" s="46">
        <f t="shared" si="2"/>
        <v>8.8117799999999988</v>
      </c>
      <c r="AB38" s="46"/>
      <c r="AC38" s="46"/>
      <c r="AD38" s="46"/>
      <c r="AE38" s="15"/>
      <c r="AG38" s="3"/>
    </row>
    <row r="39" spans="1:33" x14ac:dyDescent="0.25">
      <c r="A39" s="25" t="s">
        <v>25</v>
      </c>
      <c r="B39" s="32"/>
      <c r="C39" s="26"/>
      <c r="D39" s="27"/>
      <c r="E39" s="29" t="s">
        <v>363</v>
      </c>
      <c r="F39" s="28"/>
      <c r="G39" s="45">
        <v>0.16</v>
      </c>
      <c r="H39" s="45">
        <v>0.2</v>
      </c>
      <c r="I39" s="45">
        <v>0.48</v>
      </c>
      <c r="J39" s="53" t="s">
        <v>373</v>
      </c>
      <c r="K39" s="15">
        <v>5.0999999999999996</v>
      </c>
      <c r="L39" s="15">
        <f>(0.48*4+0.12*2+0.24)*4.89</f>
        <v>11.736000000000001</v>
      </c>
      <c r="M39" s="15"/>
      <c r="N39" s="15"/>
      <c r="O39" s="15"/>
      <c r="P39" s="15"/>
      <c r="Q39" s="15"/>
      <c r="R39" s="15"/>
      <c r="S39" s="15"/>
      <c r="T39" s="15"/>
      <c r="U39" s="45"/>
      <c r="V39" s="45"/>
      <c r="W39" s="45"/>
      <c r="X39" s="15"/>
      <c r="Y39" s="15"/>
      <c r="Z39" s="46">
        <f t="shared" si="6"/>
        <v>11.736000000000001</v>
      </c>
      <c r="AA39" s="46">
        <f t="shared" si="2"/>
        <v>2.3472000000000004</v>
      </c>
      <c r="AB39" s="46"/>
      <c r="AC39" s="46"/>
      <c r="AD39" s="46"/>
      <c r="AE39" s="15"/>
      <c r="AG39" s="3"/>
    </row>
    <row r="40" spans="1:33" x14ac:dyDescent="0.25">
      <c r="A40" s="25" t="s">
        <v>25</v>
      </c>
      <c r="B40" s="32"/>
      <c r="C40" s="26"/>
      <c r="D40" s="27" t="s">
        <v>400</v>
      </c>
      <c r="E40" s="29" t="s">
        <v>363</v>
      </c>
      <c r="F40" s="28"/>
      <c r="G40" s="45">
        <v>0.16</v>
      </c>
      <c r="H40" s="45">
        <v>0.2</v>
      </c>
      <c r="I40" s="45">
        <v>0.48</v>
      </c>
      <c r="J40" s="53"/>
      <c r="K40" s="15">
        <v>2.4500000000000002</v>
      </c>
      <c r="L40" s="15">
        <f>1.53*2.23</f>
        <v>3.4119000000000002</v>
      </c>
      <c r="M40" s="15"/>
      <c r="N40" s="15"/>
      <c r="O40" s="15"/>
      <c r="P40" s="15"/>
      <c r="Q40" s="15"/>
      <c r="R40" s="15"/>
      <c r="S40" s="15"/>
      <c r="T40" s="15"/>
      <c r="U40" s="45"/>
      <c r="V40" s="45"/>
      <c r="W40" s="45"/>
      <c r="X40" s="15"/>
      <c r="Y40" s="15"/>
      <c r="Z40" s="46">
        <f t="shared" si="6"/>
        <v>3.4119000000000002</v>
      </c>
      <c r="AA40" s="46">
        <f t="shared" si="2"/>
        <v>0.6823800000000001</v>
      </c>
      <c r="AB40" s="46"/>
      <c r="AC40" s="46"/>
      <c r="AD40" s="46"/>
      <c r="AE40" s="15"/>
      <c r="AG40" s="3"/>
    </row>
    <row r="41" spans="1:33" x14ac:dyDescent="0.25">
      <c r="A41" s="25" t="s">
        <v>25</v>
      </c>
      <c r="B41" s="32"/>
      <c r="C41" s="26"/>
      <c r="D41" s="27" t="s">
        <v>401</v>
      </c>
      <c r="E41" s="29" t="s">
        <v>363</v>
      </c>
      <c r="F41" s="28"/>
      <c r="G41" s="45">
        <v>0.16</v>
      </c>
      <c r="H41" s="45">
        <v>0.2</v>
      </c>
      <c r="I41" s="45">
        <v>0.66</v>
      </c>
      <c r="J41" s="53" t="s">
        <v>373</v>
      </c>
      <c r="K41" s="15">
        <v>5.7</v>
      </c>
      <c r="L41" s="15">
        <f>(6.7-2.28)*5.455</f>
        <v>24.1111</v>
      </c>
      <c r="M41" s="15"/>
      <c r="N41" s="15"/>
      <c r="O41" s="15"/>
      <c r="P41" s="15"/>
      <c r="Q41" s="15"/>
      <c r="R41" s="15"/>
      <c r="S41" s="15"/>
      <c r="T41" s="15"/>
      <c r="U41" s="45"/>
      <c r="V41" s="45"/>
      <c r="W41" s="45"/>
      <c r="X41" s="15"/>
      <c r="Y41" s="15"/>
      <c r="Z41" s="46">
        <f t="shared" si="6"/>
        <v>24.1111</v>
      </c>
      <c r="AA41" s="46">
        <f t="shared" si="2"/>
        <v>4.8222200000000006</v>
      </c>
      <c r="AB41" s="46"/>
      <c r="AC41" s="46"/>
      <c r="AD41" s="46"/>
      <c r="AE41" s="15"/>
      <c r="AG41" s="3"/>
    </row>
    <row r="42" spans="1:33" x14ac:dyDescent="0.25">
      <c r="A42" s="25" t="s">
        <v>25</v>
      </c>
      <c r="B42" s="32"/>
      <c r="C42" s="26"/>
      <c r="D42" s="27"/>
      <c r="E42" s="29" t="s">
        <v>363</v>
      </c>
      <c r="F42" s="28"/>
      <c r="G42" s="45">
        <v>0.16</v>
      </c>
      <c r="H42" s="45">
        <v>0.2</v>
      </c>
      <c r="I42" s="45">
        <v>0.48</v>
      </c>
      <c r="J42" s="53" t="s">
        <v>373</v>
      </c>
      <c r="K42" s="15">
        <v>5.7</v>
      </c>
      <c r="L42" s="15">
        <f>(0.48*4+0.12*3)*5.455</f>
        <v>12.437399999999998</v>
      </c>
      <c r="M42" s="15">
        <f>1.65*0.3</f>
        <v>0.49499999999999994</v>
      </c>
      <c r="N42" s="15"/>
      <c r="O42" s="15"/>
      <c r="P42" s="15"/>
      <c r="Q42" s="15"/>
      <c r="R42" s="15"/>
      <c r="S42" s="15"/>
      <c r="T42" s="15"/>
      <c r="U42" s="45"/>
      <c r="V42" s="45"/>
      <c r="W42" s="45"/>
      <c r="X42" s="15"/>
      <c r="Y42" s="15"/>
      <c r="Z42" s="46">
        <f t="shared" si="6"/>
        <v>11.942399999999999</v>
      </c>
      <c r="AA42" s="46">
        <f t="shared" si="2"/>
        <v>2.3884799999999999</v>
      </c>
      <c r="AB42" s="46"/>
      <c r="AC42" s="46"/>
      <c r="AD42" s="46"/>
      <c r="AE42" s="15"/>
      <c r="AG42" s="3"/>
    </row>
    <row r="43" spans="1:33" x14ac:dyDescent="0.25">
      <c r="A43" s="25" t="s">
        <v>25</v>
      </c>
      <c r="B43" s="32"/>
      <c r="C43" s="26"/>
      <c r="D43" s="27" t="s">
        <v>402</v>
      </c>
      <c r="E43" s="29" t="s">
        <v>363</v>
      </c>
      <c r="F43" s="28"/>
      <c r="G43" s="45">
        <v>0.16</v>
      </c>
      <c r="H43" s="45">
        <v>0.2</v>
      </c>
      <c r="I43" s="45">
        <v>0.66</v>
      </c>
      <c r="J43" s="53" t="s">
        <v>373</v>
      </c>
      <c r="K43" s="15">
        <v>5.35</v>
      </c>
      <c r="L43" s="15">
        <f>(4.045-1.56)*5.19</f>
        <v>12.89715</v>
      </c>
      <c r="M43" s="15"/>
      <c r="N43" s="15"/>
      <c r="O43" s="15"/>
      <c r="P43" s="15"/>
      <c r="Q43" s="15"/>
      <c r="R43" s="15"/>
      <c r="S43" s="15"/>
      <c r="T43" s="15"/>
      <c r="U43" s="45"/>
      <c r="V43" s="45"/>
      <c r="W43" s="45"/>
      <c r="X43" s="15"/>
      <c r="Y43" s="15"/>
      <c r="Z43" s="46">
        <f t="shared" si="6"/>
        <v>12.89715</v>
      </c>
      <c r="AA43" s="46">
        <f t="shared" si="2"/>
        <v>2.5794300000000003</v>
      </c>
      <c r="AB43" s="46"/>
      <c r="AC43" s="46"/>
      <c r="AD43" s="46"/>
      <c r="AE43" s="15"/>
      <c r="AG43" s="3"/>
    </row>
    <row r="44" spans="1:33" x14ac:dyDescent="0.25">
      <c r="A44" s="25" t="s">
        <v>25</v>
      </c>
      <c r="B44" s="32"/>
      <c r="C44" s="26"/>
      <c r="D44" s="27"/>
      <c r="E44" s="29" t="s">
        <v>363</v>
      </c>
      <c r="F44" s="28"/>
      <c r="G44" s="45">
        <v>0.16</v>
      </c>
      <c r="H44" s="45">
        <v>0.2</v>
      </c>
      <c r="I44" s="45">
        <v>0.48</v>
      </c>
      <c r="J44" s="53" t="s">
        <v>373</v>
      </c>
      <c r="K44" s="15">
        <v>5.35</v>
      </c>
      <c r="L44" s="15">
        <f>(0.48*3+0.12)*5.19</f>
        <v>8.0964000000000009</v>
      </c>
      <c r="M44" s="15"/>
      <c r="N44" s="15"/>
      <c r="O44" s="15"/>
      <c r="P44" s="15"/>
      <c r="Q44" s="15"/>
      <c r="R44" s="15"/>
      <c r="S44" s="15"/>
      <c r="T44" s="15"/>
      <c r="U44" s="45"/>
      <c r="V44" s="45"/>
      <c r="W44" s="45"/>
      <c r="X44" s="15"/>
      <c r="Y44" s="15"/>
      <c r="Z44" s="46">
        <f t="shared" ref="Z44:Z50" si="8">IF((L44-M44+N44)=0,"",(L44-M44+N44))</f>
        <v>8.0964000000000009</v>
      </c>
      <c r="AA44" s="46">
        <f t="shared" si="2"/>
        <v>1.6192800000000003</v>
      </c>
      <c r="AB44" s="46"/>
      <c r="AC44" s="46"/>
      <c r="AD44" s="46"/>
      <c r="AE44" s="15"/>
      <c r="AG44" s="3"/>
    </row>
    <row r="45" spans="1:33" x14ac:dyDescent="0.25">
      <c r="A45" s="25" t="s">
        <v>25</v>
      </c>
      <c r="B45" s="32"/>
      <c r="C45" s="26"/>
      <c r="D45" s="27" t="s">
        <v>403</v>
      </c>
      <c r="E45" s="29" t="s">
        <v>363</v>
      </c>
      <c r="F45" s="28"/>
      <c r="G45" s="45">
        <v>0.16</v>
      </c>
      <c r="H45" s="45">
        <v>0.2</v>
      </c>
      <c r="I45" s="45">
        <v>0.66</v>
      </c>
      <c r="J45" s="53" t="s">
        <v>373</v>
      </c>
      <c r="K45" s="15">
        <v>4.7</v>
      </c>
      <c r="L45" s="15">
        <f>(25.66-7.42)*4.495</f>
        <v>81.988800000000012</v>
      </c>
      <c r="M45" s="15"/>
      <c r="N45" s="15"/>
      <c r="O45" s="15"/>
      <c r="P45" s="15"/>
      <c r="Q45" s="15"/>
      <c r="R45" s="15"/>
      <c r="S45" s="15"/>
      <c r="T45" s="15"/>
      <c r="U45" s="45"/>
      <c r="V45" s="45"/>
      <c r="W45" s="45"/>
      <c r="X45" s="15"/>
      <c r="Y45" s="15"/>
      <c r="Z45" s="46">
        <f t="shared" si="8"/>
        <v>81.988800000000012</v>
      </c>
      <c r="AA45" s="46">
        <f t="shared" si="2"/>
        <v>16.397760000000002</v>
      </c>
      <c r="AB45" s="46"/>
      <c r="AC45" s="46"/>
      <c r="AD45" s="46"/>
      <c r="AE45" s="15"/>
      <c r="AG45" s="3"/>
    </row>
    <row r="46" spans="1:33" x14ac:dyDescent="0.25">
      <c r="A46" s="25" t="s">
        <v>25</v>
      </c>
      <c r="B46" s="32"/>
      <c r="C46" s="26"/>
      <c r="D46" s="27"/>
      <c r="E46" s="29" t="s">
        <v>363</v>
      </c>
      <c r="F46" s="28"/>
      <c r="G46" s="45">
        <v>0.16</v>
      </c>
      <c r="H46" s="45">
        <v>0.2</v>
      </c>
      <c r="I46" s="45">
        <v>0.48</v>
      </c>
      <c r="J46" s="53" t="s">
        <v>373</v>
      </c>
      <c r="K46" s="15">
        <v>4.7</v>
      </c>
      <c r="L46" s="15">
        <f>(0.48*12+0.215+0.24+0.12*10)*4.495</f>
        <v>33.330424999999998</v>
      </c>
      <c r="M46" s="15"/>
      <c r="N46" s="15"/>
      <c r="O46" s="15"/>
      <c r="P46" s="15"/>
      <c r="Q46" s="15"/>
      <c r="R46" s="15"/>
      <c r="S46" s="15"/>
      <c r="T46" s="15"/>
      <c r="U46" s="45"/>
      <c r="V46" s="45"/>
      <c r="W46" s="45"/>
      <c r="X46" s="15"/>
      <c r="Y46" s="15"/>
      <c r="Z46" s="46">
        <f t="shared" si="8"/>
        <v>33.330424999999998</v>
      </c>
      <c r="AA46" s="46">
        <f t="shared" si="2"/>
        <v>6.6660849999999998</v>
      </c>
      <c r="AB46" s="46"/>
      <c r="AC46" s="46"/>
      <c r="AD46" s="46"/>
      <c r="AE46" s="15"/>
      <c r="AG46" s="3"/>
    </row>
    <row r="47" spans="1:33" x14ac:dyDescent="0.25">
      <c r="A47" s="25" t="s">
        <v>25</v>
      </c>
      <c r="B47" s="32"/>
      <c r="C47" s="26"/>
      <c r="D47" s="27" t="s">
        <v>404</v>
      </c>
      <c r="E47" s="29" t="s">
        <v>363</v>
      </c>
      <c r="F47" s="28"/>
      <c r="G47" s="45">
        <v>0.16</v>
      </c>
      <c r="H47" s="45">
        <v>0.2</v>
      </c>
      <c r="I47" s="45">
        <v>0.48</v>
      </c>
      <c r="J47" s="53"/>
      <c r="K47" s="15">
        <v>4.55</v>
      </c>
      <c r="L47" s="15">
        <f>(0.11+0.48*2)*4.325</f>
        <v>4.6277500000000007</v>
      </c>
      <c r="M47" s="15"/>
      <c r="N47" s="15"/>
      <c r="O47" s="15"/>
      <c r="P47" s="15"/>
      <c r="Q47" s="15"/>
      <c r="R47" s="15"/>
      <c r="S47" s="15"/>
      <c r="T47" s="15"/>
      <c r="U47" s="45"/>
      <c r="V47" s="45"/>
      <c r="W47" s="45"/>
      <c r="X47" s="15"/>
      <c r="Y47" s="15"/>
      <c r="Z47" s="46">
        <f t="shared" si="8"/>
        <v>4.6277500000000007</v>
      </c>
      <c r="AA47" s="46">
        <f t="shared" si="2"/>
        <v>0.92555000000000021</v>
      </c>
      <c r="AB47" s="46"/>
      <c r="AC47" s="46"/>
      <c r="AD47" s="46"/>
      <c r="AE47" s="15"/>
      <c r="AG47" s="3"/>
    </row>
    <row r="48" spans="1:33" x14ac:dyDescent="0.25">
      <c r="A48" s="25" t="s">
        <v>25</v>
      </c>
      <c r="B48" s="32"/>
      <c r="C48" s="26"/>
      <c r="D48" s="27" t="s">
        <v>405</v>
      </c>
      <c r="E48" s="29" t="s">
        <v>363</v>
      </c>
      <c r="F48" s="28"/>
      <c r="G48" s="45">
        <v>0.16</v>
      </c>
      <c r="H48" s="45">
        <v>0.2</v>
      </c>
      <c r="I48" s="45">
        <v>0.66</v>
      </c>
      <c r="J48" s="53" t="s">
        <v>373</v>
      </c>
      <c r="K48" s="15">
        <v>4.55</v>
      </c>
      <c r="L48" s="15">
        <f>(9.555-1.07-0.48)*4.325</f>
        <v>34.621624999999995</v>
      </c>
      <c r="M48" s="15"/>
      <c r="N48" s="15"/>
      <c r="O48" s="15"/>
      <c r="P48" s="15"/>
      <c r="Q48" s="15"/>
      <c r="R48" s="15"/>
      <c r="S48" s="15"/>
      <c r="T48" s="15"/>
      <c r="U48" s="45"/>
      <c r="V48" s="45"/>
      <c r="W48" s="45"/>
      <c r="X48" s="15"/>
      <c r="Y48" s="15"/>
      <c r="Z48" s="46">
        <f t="shared" si="8"/>
        <v>34.621624999999995</v>
      </c>
      <c r="AA48" s="46">
        <f t="shared" si="2"/>
        <v>6.9243249999999996</v>
      </c>
      <c r="AB48" s="46"/>
      <c r="AC48" s="46"/>
      <c r="AD48" s="46"/>
      <c r="AE48" s="15"/>
      <c r="AG48" s="3"/>
    </row>
    <row r="49" spans="1:33" x14ac:dyDescent="0.25">
      <c r="A49" s="25" t="s">
        <v>25</v>
      </c>
      <c r="B49" s="32"/>
      <c r="C49" s="26"/>
      <c r="D49" s="27"/>
      <c r="E49" s="29" t="s">
        <v>363</v>
      </c>
      <c r="F49" s="28"/>
      <c r="G49" s="45">
        <v>0.16</v>
      </c>
      <c r="H49" s="45">
        <v>0.2</v>
      </c>
      <c r="I49" s="45">
        <v>0.48</v>
      </c>
      <c r="J49" s="53" t="s">
        <v>373</v>
      </c>
      <c r="K49" s="15">
        <v>4.55</v>
      </c>
      <c r="L49" s="15">
        <v>0.48</v>
      </c>
      <c r="M49" s="15"/>
      <c r="N49" s="15"/>
      <c r="O49" s="15"/>
      <c r="P49" s="15"/>
      <c r="Q49" s="15"/>
      <c r="R49" s="15"/>
      <c r="S49" s="15"/>
      <c r="T49" s="15"/>
      <c r="U49" s="45"/>
      <c r="V49" s="45"/>
      <c r="W49" s="45"/>
      <c r="X49" s="15"/>
      <c r="Y49" s="15"/>
      <c r="Z49" s="46">
        <f t="shared" si="8"/>
        <v>0.48</v>
      </c>
      <c r="AA49" s="46">
        <f t="shared" si="2"/>
        <v>9.6000000000000002E-2</v>
      </c>
      <c r="AB49" s="46"/>
      <c r="AC49" s="46"/>
      <c r="AD49" s="46"/>
      <c r="AE49" s="15"/>
      <c r="AG49" s="3"/>
    </row>
    <row r="50" spans="1:33" x14ac:dyDescent="0.25">
      <c r="A50" s="25" t="s">
        <v>25</v>
      </c>
      <c r="B50" s="32"/>
      <c r="C50" s="26"/>
      <c r="D50" s="27" t="s">
        <v>409</v>
      </c>
      <c r="E50" s="29" t="s">
        <v>363</v>
      </c>
      <c r="F50" s="28"/>
      <c r="G50" s="45">
        <v>0.16</v>
      </c>
      <c r="H50" s="45">
        <v>0.2</v>
      </c>
      <c r="I50" s="45">
        <v>0.66</v>
      </c>
      <c r="J50" s="53" t="s">
        <v>373</v>
      </c>
      <c r="K50" s="15">
        <v>5.25</v>
      </c>
      <c r="L50" s="15">
        <f>(25.415-6)*5.005</f>
        <v>97.172074999999992</v>
      </c>
      <c r="M50" s="15"/>
      <c r="N50" s="15"/>
      <c r="O50" s="15"/>
      <c r="P50" s="15"/>
      <c r="Q50" s="15"/>
      <c r="R50" s="15"/>
      <c r="S50" s="15"/>
      <c r="T50" s="15"/>
      <c r="U50" s="45"/>
      <c r="V50" s="45"/>
      <c r="W50" s="45"/>
      <c r="X50" s="15"/>
      <c r="Y50" s="15"/>
      <c r="Z50" s="46">
        <f t="shared" si="8"/>
        <v>97.172074999999992</v>
      </c>
      <c r="AA50" s="46">
        <f t="shared" si="2"/>
        <v>19.434415000000001</v>
      </c>
      <c r="AB50" s="46"/>
      <c r="AC50" s="46"/>
      <c r="AD50" s="46"/>
      <c r="AE50" s="15"/>
      <c r="AG50" s="3"/>
    </row>
    <row r="51" spans="1:33" x14ac:dyDescent="0.25">
      <c r="A51" s="25" t="s">
        <v>25</v>
      </c>
      <c r="B51" s="32"/>
      <c r="C51" s="26"/>
      <c r="D51" s="27"/>
      <c r="E51" s="29" t="s">
        <v>363</v>
      </c>
      <c r="F51" s="28"/>
      <c r="G51" s="45">
        <v>0.16</v>
      </c>
      <c r="H51" s="45">
        <v>0.2</v>
      </c>
      <c r="I51" s="45">
        <v>0.48</v>
      </c>
      <c r="J51" s="53" t="s">
        <v>373</v>
      </c>
      <c r="K51" s="15">
        <v>5.25</v>
      </c>
      <c r="L51" s="15">
        <f>(0.48*11+0.12*6)*5.005</f>
        <v>30.029999999999994</v>
      </c>
      <c r="M51" s="15"/>
      <c r="N51" s="15"/>
      <c r="O51" s="15"/>
      <c r="P51" s="15"/>
      <c r="Q51" s="15"/>
      <c r="R51" s="15"/>
      <c r="S51" s="15"/>
      <c r="T51" s="15"/>
      <c r="U51" s="45"/>
      <c r="V51" s="45"/>
      <c r="W51" s="45"/>
      <c r="X51" s="15"/>
      <c r="Y51" s="15"/>
      <c r="Z51" s="46">
        <f t="shared" ref="Z51:Z52" si="9">IF((L51-M51+N51)=0,"",(L51-M51+N51))</f>
        <v>30.029999999999994</v>
      </c>
      <c r="AA51" s="46">
        <f t="shared" si="2"/>
        <v>6.0059999999999993</v>
      </c>
      <c r="AB51" s="46"/>
      <c r="AC51" s="46"/>
      <c r="AD51" s="46"/>
      <c r="AE51" s="15"/>
      <c r="AG51" s="3"/>
    </row>
    <row r="52" spans="1:33" x14ac:dyDescent="0.25">
      <c r="A52" s="25" t="s">
        <v>25</v>
      </c>
      <c r="B52" s="32"/>
      <c r="C52" s="26"/>
      <c r="D52" s="27" t="s">
        <v>410</v>
      </c>
      <c r="E52" s="29" t="s">
        <v>363</v>
      </c>
      <c r="F52" s="28"/>
      <c r="G52" s="45">
        <v>0.16</v>
      </c>
      <c r="H52" s="45">
        <v>0.2</v>
      </c>
      <c r="I52" s="45">
        <v>0.48</v>
      </c>
      <c r="J52" s="53"/>
      <c r="K52" s="15">
        <v>4.2</v>
      </c>
      <c r="L52" s="15">
        <f>(9.72)*4.03</f>
        <v>39.171600000000005</v>
      </c>
      <c r="M52" s="15"/>
      <c r="N52" s="15"/>
      <c r="O52" s="15"/>
      <c r="P52" s="15"/>
      <c r="Q52" s="15"/>
      <c r="R52" s="15"/>
      <c r="S52" s="15"/>
      <c r="T52" s="15"/>
      <c r="U52" s="45"/>
      <c r="V52" s="45"/>
      <c r="W52" s="45"/>
      <c r="X52" s="15"/>
      <c r="Y52" s="15"/>
      <c r="Z52" s="46">
        <f t="shared" si="9"/>
        <v>39.171600000000005</v>
      </c>
      <c r="AA52" s="46">
        <f t="shared" si="2"/>
        <v>7.8343200000000017</v>
      </c>
      <c r="AB52" s="46"/>
      <c r="AC52" s="46"/>
      <c r="AD52" s="46"/>
      <c r="AE52" s="15"/>
      <c r="AG52" s="3"/>
    </row>
    <row r="53" spans="1:33" x14ac:dyDescent="0.25">
      <c r="A53" s="33" t="s">
        <v>26</v>
      </c>
      <c r="B53" s="32"/>
      <c r="C53" s="26"/>
      <c r="D53" s="27"/>
      <c r="E53" s="29"/>
      <c r="F53" s="28"/>
      <c r="G53" s="45"/>
      <c r="H53" s="45"/>
      <c r="I53" s="45"/>
      <c r="J53" s="53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45"/>
      <c r="V53" s="45"/>
      <c r="W53" s="45"/>
      <c r="X53" s="15"/>
      <c r="Y53" s="15"/>
      <c r="Z53" s="46" t="str">
        <f t="shared" si="0"/>
        <v/>
      </c>
      <c r="AA53" s="46" t="str">
        <f t="shared" si="2"/>
        <v/>
      </c>
      <c r="AB53" s="46"/>
      <c r="AC53" s="46"/>
      <c r="AD53" s="46"/>
      <c r="AE53" s="15"/>
      <c r="AG53" s="3"/>
    </row>
    <row r="54" spans="1:33" x14ac:dyDescent="0.25">
      <c r="A54" s="25" t="s">
        <v>27</v>
      </c>
      <c r="B54" s="32"/>
      <c r="C54" s="26"/>
      <c r="D54" s="27" t="s">
        <v>415</v>
      </c>
      <c r="E54" s="29" t="s">
        <v>363</v>
      </c>
      <c r="F54" s="28"/>
      <c r="G54" s="45">
        <v>0.16</v>
      </c>
      <c r="H54" s="45">
        <v>0.25</v>
      </c>
      <c r="I54" s="45">
        <v>0.48</v>
      </c>
      <c r="J54" s="53"/>
      <c r="K54" s="15">
        <v>5.25</v>
      </c>
      <c r="L54" s="15">
        <f>21.155*5.005</f>
        <v>105.880775</v>
      </c>
      <c r="M54" s="15"/>
      <c r="N54" s="15"/>
      <c r="O54" s="15"/>
      <c r="P54" s="15"/>
      <c r="Q54" s="15"/>
      <c r="R54" s="15"/>
      <c r="S54" s="15"/>
      <c r="T54" s="15"/>
      <c r="U54" s="45"/>
      <c r="V54" s="45"/>
      <c r="W54" s="45"/>
      <c r="X54" s="15"/>
      <c r="Y54" s="15"/>
      <c r="Z54" s="46">
        <f t="shared" si="0"/>
        <v>105.880775</v>
      </c>
      <c r="AA54" s="46">
        <f t="shared" si="2"/>
        <v>26.47019375</v>
      </c>
      <c r="AB54" s="46"/>
      <c r="AC54" s="46"/>
      <c r="AD54" s="46"/>
      <c r="AE54" s="15"/>
      <c r="AG54" s="3"/>
    </row>
    <row r="55" spans="1:33" x14ac:dyDescent="0.25">
      <c r="A55" s="25" t="s">
        <v>27</v>
      </c>
      <c r="B55" s="32"/>
      <c r="C55" s="26"/>
      <c r="D55" s="27" t="s">
        <v>416</v>
      </c>
      <c r="E55" s="29" t="s">
        <v>363</v>
      </c>
      <c r="F55" s="28"/>
      <c r="G55" s="45">
        <v>0.16</v>
      </c>
      <c r="H55" s="45">
        <v>0.25</v>
      </c>
      <c r="I55" s="45">
        <v>0.48</v>
      </c>
      <c r="J55" s="53"/>
      <c r="K55" s="15">
        <v>2.4500000000000002</v>
      </c>
      <c r="L55" s="15">
        <f>2.8*2.16</f>
        <v>6.048</v>
      </c>
      <c r="M55" s="15"/>
      <c r="N55" s="15"/>
      <c r="O55" s="15"/>
      <c r="P55" s="15"/>
      <c r="Q55" s="15"/>
      <c r="R55" s="15"/>
      <c r="S55" s="15"/>
      <c r="T55" s="15"/>
      <c r="U55" s="45"/>
      <c r="V55" s="45"/>
      <c r="W55" s="45"/>
      <c r="X55" s="15"/>
      <c r="Y55" s="15"/>
      <c r="Z55" s="46">
        <f t="shared" si="0"/>
        <v>6.048</v>
      </c>
      <c r="AA55" s="46">
        <f t="shared" si="2"/>
        <v>1.512</v>
      </c>
      <c r="AB55" s="46"/>
      <c r="AC55" s="46"/>
      <c r="AD55" s="46"/>
      <c r="AE55" s="15"/>
      <c r="AG55" s="3"/>
    </row>
    <row r="56" spans="1:33" x14ac:dyDescent="0.25">
      <c r="A56" s="25" t="s">
        <v>27</v>
      </c>
      <c r="B56" s="32"/>
      <c r="C56" s="26"/>
      <c r="D56" s="27" t="s">
        <v>417</v>
      </c>
      <c r="E56" s="29" t="s">
        <v>363</v>
      </c>
      <c r="F56" s="28"/>
      <c r="G56" s="45">
        <v>0.16</v>
      </c>
      <c r="H56" s="45">
        <v>0.25</v>
      </c>
      <c r="I56" s="45">
        <v>0.48</v>
      </c>
      <c r="J56" s="53"/>
      <c r="K56" s="15">
        <v>5.25</v>
      </c>
      <c r="L56" s="15">
        <f>3.765*5.005</f>
        <v>18.843824999999999</v>
      </c>
      <c r="M56" s="15"/>
      <c r="N56" s="15"/>
      <c r="O56" s="15"/>
      <c r="P56" s="15"/>
      <c r="Q56" s="15"/>
      <c r="R56" s="15"/>
      <c r="S56" s="15"/>
      <c r="T56" s="15"/>
      <c r="U56" s="45"/>
      <c r="V56" s="45"/>
      <c r="W56" s="45"/>
      <c r="X56" s="15"/>
      <c r="Y56" s="15"/>
      <c r="Z56" s="46">
        <f t="shared" si="0"/>
        <v>18.843824999999999</v>
      </c>
      <c r="AA56" s="46">
        <f t="shared" si="2"/>
        <v>4.7109562499999997</v>
      </c>
      <c r="AB56" s="46"/>
      <c r="AC56" s="46"/>
      <c r="AD56" s="46"/>
      <c r="AE56" s="15"/>
      <c r="AG56" s="3"/>
    </row>
    <row r="57" spans="1:33" x14ac:dyDescent="0.25">
      <c r="A57" s="25" t="s">
        <v>27</v>
      </c>
      <c r="B57" s="32"/>
      <c r="C57" s="26"/>
      <c r="D57" s="27" t="s">
        <v>418</v>
      </c>
      <c r="E57" s="29" t="s">
        <v>363</v>
      </c>
      <c r="F57" s="28"/>
      <c r="G57" s="45">
        <v>0.16</v>
      </c>
      <c r="H57" s="45">
        <v>0.25</v>
      </c>
      <c r="I57" s="45">
        <v>0.66</v>
      </c>
      <c r="J57" s="53"/>
      <c r="K57" s="15">
        <v>2.7</v>
      </c>
      <c r="L57" s="15">
        <f>4.53*2.42</f>
        <v>10.9626</v>
      </c>
      <c r="M57" s="15"/>
      <c r="N57" s="15"/>
      <c r="O57" s="15"/>
      <c r="P57" s="15"/>
      <c r="Q57" s="15"/>
      <c r="R57" s="15"/>
      <c r="S57" s="15"/>
      <c r="T57" s="15"/>
      <c r="U57" s="45"/>
      <c r="V57" s="45"/>
      <c r="W57" s="45"/>
      <c r="X57" s="15"/>
      <c r="Y57" s="15"/>
      <c r="Z57" s="46">
        <f t="shared" ref="Z57:Z93" si="10">IF((L57-M57+N57)=0,"",(L57-M57+N57))</f>
        <v>10.9626</v>
      </c>
      <c r="AA57" s="46">
        <f t="shared" si="2"/>
        <v>2.74065</v>
      </c>
      <c r="AB57" s="46"/>
      <c r="AC57" s="46"/>
      <c r="AD57" s="46"/>
      <c r="AE57" s="15"/>
      <c r="AG57" s="3"/>
    </row>
    <row r="58" spans="1:33" x14ac:dyDescent="0.25">
      <c r="A58" s="25" t="s">
        <v>27</v>
      </c>
      <c r="B58" s="32"/>
      <c r="C58" s="26"/>
      <c r="D58" s="27" t="s">
        <v>419</v>
      </c>
      <c r="E58" s="29" t="s">
        <v>363</v>
      </c>
      <c r="F58" s="28"/>
      <c r="G58" s="45">
        <v>0.16</v>
      </c>
      <c r="H58" s="45">
        <v>0.25</v>
      </c>
      <c r="I58" s="45">
        <v>0.66</v>
      </c>
      <c r="J58" s="53"/>
      <c r="K58" s="15">
        <v>4</v>
      </c>
      <c r="L58" s="15">
        <f>2.655*3.765</f>
        <v>9.9960749999999994</v>
      </c>
      <c r="M58" s="15"/>
      <c r="N58" s="15"/>
      <c r="O58" s="15"/>
      <c r="P58" s="15"/>
      <c r="Q58" s="15"/>
      <c r="R58" s="15"/>
      <c r="S58" s="15"/>
      <c r="T58" s="15"/>
      <c r="U58" s="45"/>
      <c r="V58" s="45"/>
      <c r="W58" s="45"/>
      <c r="X58" s="15"/>
      <c r="Y58" s="15"/>
      <c r="Z58" s="46">
        <f t="shared" si="10"/>
        <v>9.9960749999999994</v>
      </c>
      <c r="AA58" s="46">
        <f t="shared" si="2"/>
        <v>2.4990187499999998</v>
      </c>
      <c r="AB58" s="46"/>
      <c r="AC58" s="46"/>
      <c r="AD58" s="46"/>
      <c r="AE58" s="15"/>
      <c r="AG58" s="3"/>
    </row>
    <row r="59" spans="1:33" x14ac:dyDescent="0.25">
      <c r="A59" s="25" t="s">
        <v>27</v>
      </c>
      <c r="B59" s="32"/>
      <c r="C59" s="26"/>
      <c r="D59" s="27" t="s">
        <v>420</v>
      </c>
      <c r="E59" s="29" t="s">
        <v>363</v>
      </c>
      <c r="F59" s="28"/>
      <c r="G59" s="45">
        <v>0.16</v>
      </c>
      <c r="H59" s="45">
        <v>0.25</v>
      </c>
      <c r="I59" s="45">
        <v>0.48</v>
      </c>
      <c r="J59" s="53"/>
      <c r="K59" s="15">
        <v>5.25</v>
      </c>
      <c r="L59" s="15">
        <f>31.47*5.005</f>
        <v>157.50735</v>
      </c>
      <c r="M59" s="15"/>
      <c r="N59" s="15"/>
      <c r="O59" s="15"/>
      <c r="P59" s="15"/>
      <c r="Q59" s="15"/>
      <c r="R59" s="15"/>
      <c r="S59" s="15"/>
      <c r="T59" s="15"/>
      <c r="U59" s="45"/>
      <c r="V59" s="45"/>
      <c r="W59" s="45"/>
      <c r="X59" s="15"/>
      <c r="Y59" s="15"/>
      <c r="Z59" s="46">
        <f t="shared" si="10"/>
        <v>157.50735</v>
      </c>
      <c r="AA59" s="46">
        <f t="shared" si="2"/>
        <v>39.376837500000001</v>
      </c>
      <c r="AB59" s="46"/>
      <c r="AC59" s="46"/>
      <c r="AD59" s="46"/>
      <c r="AE59" s="15"/>
      <c r="AG59" s="3"/>
    </row>
    <row r="60" spans="1:33" x14ac:dyDescent="0.25">
      <c r="A60" s="25" t="s">
        <v>27</v>
      </c>
      <c r="B60" s="32"/>
      <c r="C60" s="26"/>
      <c r="D60" s="27" t="s">
        <v>421</v>
      </c>
      <c r="E60" s="29" t="s">
        <v>363</v>
      </c>
      <c r="F60" s="28"/>
      <c r="G60" s="45">
        <v>0.16</v>
      </c>
      <c r="H60" s="45">
        <v>0.25</v>
      </c>
      <c r="I60" s="45">
        <v>0.66</v>
      </c>
      <c r="J60" s="53"/>
      <c r="K60" s="15">
        <v>4.7</v>
      </c>
      <c r="L60" s="15">
        <f>(28.2-3.72)*4.475</f>
        <v>109.54799999999999</v>
      </c>
      <c r="M60" s="15"/>
      <c r="N60" s="15"/>
      <c r="O60" s="15"/>
      <c r="P60" s="15"/>
      <c r="Q60" s="15"/>
      <c r="R60" s="15"/>
      <c r="S60" s="15"/>
      <c r="T60" s="15"/>
      <c r="U60" s="45"/>
      <c r="V60" s="45"/>
      <c r="W60" s="45"/>
      <c r="X60" s="15"/>
      <c r="Y60" s="15"/>
      <c r="Z60" s="46">
        <f t="shared" si="10"/>
        <v>109.54799999999999</v>
      </c>
      <c r="AA60" s="46">
        <f t="shared" si="2"/>
        <v>27.386999999999997</v>
      </c>
      <c r="AB60" s="46"/>
      <c r="AC60" s="46"/>
      <c r="AD60" s="46"/>
      <c r="AE60" s="15"/>
      <c r="AG60" s="3"/>
    </row>
    <row r="61" spans="1:33" x14ac:dyDescent="0.25">
      <c r="A61" s="25" t="s">
        <v>27</v>
      </c>
      <c r="B61" s="32"/>
      <c r="C61" s="26"/>
      <c r="D61" s="27"/>
      <c r="E61" s="29" t="s">
        <v>363</v>
      </c>
      <c r="F61" s="28"/>
      <c r="G61" s="45">
        <v>0.16</v>
      </c>
      <c r="H61" s="45">
        <v>0.25</v>
      </c>
      <c r="I61" s="45">
        <v>0.48</v>
      </c>
      <c r="J61" s="53"/>
      <c r="K61" s="15">
        <v>4.7</v>
      </c>
      <c r="L61" s="15">
        <f>(0.48*6+0.44+0.4)*4.475</f>
        <v>16.646999999999998</v>
      </c>
      <c r="M61" s="15">
        <f>1.3*0.35+1.45*0.35</f>
        <v>0.96249999999999991</v>
      </c>
      <c r="N61" s="15"/>
      <c r="O61" s="15"/>
      <c r="P61" s="15"/>
      <c r="Q61" s="15"/>
      <c r="R61" s="15"/>
      <c r="S61" s="15"/>
      <c r="T61" s="15"/>
      <c r="U61" s="45"/>
      <c r="V61" s="45"/>
      <c r="W61" s="45"/>
      <c r="X61" s="15"/>
      <c r="Y61" s="15"/>
      <c r="Z61" s="46">
        <f t="shared" si="10"/>
        <v>15.684499999999998</v>
      </c>
      <c r="AA61" s="46">
        <f t="shared" si="2"/>
        <v>3.9211249999999995</v>
      </c>
      <c r="AB61" s="46"/>
      <c r="AC61" s="46"/>
      <c r="AD61" s="46"/>
      <c r="AE61" s="15"/>
      <c r="AG61" s="3"/>
    </row>
    <row r="62" spans="1:33" x14ac:dyDescent="0.25">
      <c r="A62" s="25" t="s">
        <v>27</v>
      </c>
      <c r="B62" s="32"/>
      <c r="C62" s="26"/>
      <c r="D62" s="27" t="s">
        <v>422</v>
      </c>
      <c r="E62" s="29" t="s">
        <v>363</v>
      </c>
      <c r="F62" s="28"/>
      <c r="G62" s="45">
        <v>0.16</v>
      </c>
      <c r="H62" s="45">
        <v>0.25</v>
      </c>
      <c r="I62" s="45">
        <v>0.48</v>
      </c>
      <c r="J62" s="53"/>
      <c r="K62" s="15">
        <v>3.15</v>
      </c>
      <c r="L62" s="15">
        <f>1.32*3.025</f>
        <v>3.9929999999999999</v>
      </c>
      <c r="M62" s="15"/>
      <c r="N62" s="15"/>
      <c r="O62" s="15"/>
      <c r="P62" s="15"/>
      <c r="Q62" s="15"/>
      <c r="R62" s="15"/>
      <c r="S62" s="15"/>
      <c r="T62" s="15"/>
      <c r="U62" s="45"/>
      <c r="V62" s="45"/>
      <c r="W62" s="45"/>
      <c r="X62" s="15"/>
      <c r="Y62" s="15"/>
      <c r="Z62" s="46">
        <f t="shared" si="10"/>
        <v>3.9929999999999999</v>
      </c>
      <c r="AA62" s="46">
        <f t="shared" si="2"/>
        <v>0.99824999999999997</v>
      </c>
      <c r="AB62" s="46"/>
      <c r="AC62" s="46"/>
      <c r="AD62" s="46"/>
      <c r="AE62" s="15"/>
      <c r="AG62" s="3"/>
    </row>
    <row r="63" spans="1:33" x14ac:dyDescent="0.25">
      <c r="A63" s="25" t="s">
        <v>27</v>
      </c>
      <c r="B63" s="32"/>
      <c r="C63" s="26"/>
      <c r="D63" s="27" t="s">
        <v>423</v>
      </c>
      <c r="E63" s="29" t="s">
        <v>363</v>
      </c>
      <c r="F63" s="28"/>
      <c r="G63" s="45">
        <v>0.16</v>
      </c>
      <c r="H63" s="45">
        <v>0.25</v>
      </c>
      <c r="I63" s="45">
        <v>0.48</v>
      </c>
      <c r="J63" s="53"/>
      <c r="K63" s="15">
        <v>5.9</v>
      </c>
      <c r="L63" s="15">
        <f>21.155*5.675</f>
        <v>120.054625</v>
      </c>
      <c r="M63" s="15">
        <f>2.31*0.35</f>
        <v>0.8085</v>
      </c>
      <c r="N63" s="15"/>
      <c r="O63" s="15"/>
      <c r="P63" s="15"/>
      <c r="Q63" s="15"/>
      <c r="R63" s="15"/>
      <c r="S63" s="15"/>
      <c r="T63" s="15"/>
      <c r="U63" s="45"/>
      <c r="V63" s="45"/>
      <c r="W63" s="45"/>
      <c r="X63" s="15"/>
      <c r="Y63" s="15"/>
      <c r="Z63" s="46">
        <f t="shared" si="10"/>
        <v>119.24612500000001</v>
      </c>
      <c r="AA63" s="46">
        <f t="shared" si="2"/>
        <v>29.811531250000002</v>
      </c>
      <c r="AB63" s="46"/>
      <c r="AC63" s="46"/>
      <c r="AD63" s="46"/>
      <c r="AE63" s="15"/>
      <c r="AG63" s="3"/>
    </row>
    <row r="64" spans="1:33" x14ac:dyDescent="0.25">
      <c r="A64" s="25" t="s">
        <v>27</v>
      </c>
      <c r="B64" s="32"/>
      <c r="C64" s="26"/>
      <c r="D64" s="27" t="s">
        <v>424</v>
      </c>
      <c r="E64" s="29" t="s">
        <v>363</v>
      </c>
      <c r="F64" s="28"/>
      <c r="G64" s="45">
        <v>0.16</v>
      </c>
      <c r="H64" s="45">
        <v>0.25</v>
      </c>
      <c r="I64" s="45">
        <v>0.66</v>
      </c>
      <c r="J64" s="53"/>
      <c r="K64" s="15">
        <v>6.75</v>
      </c>
      <c r="L64" s="15">
        <f>11.01*6.51</f>
        <v>71.6751</v>
      </c>
      <c r="M64" s="15"/>
      <c r="N64" s="15"/>
      <c r="O64" s="15"/>
      <c r="P64" s="15"/>
      <c r="Q64" s="15"/>
      <c r="R64" s="15"/>
      <c r="S64" s="15"/>
      <c r="T64" s="15"/>
      <c r="U64" s="45"/>
      <c r="V64" s="45"/>
      <c r="W64" s="45"/>
      <c r="X64" s="15"/>
      <c r="Y64" s="15"/>
      <c r="Z64" s="46">
        <f t="shared" si="10"/>
        <v>71.6751</v>
      </c>
      <c r="AA64" s="46">
        <f t="shared" si="2"/>
        <v>17.918775</v>
      </c>
      <c r="AB64" s="46"/>
      <c r="AC64" s="46"/>
      <c r="AD64" s="46"/>
      <c r="AE64" s="15"/>
      <c r="AG64" s="3"/>
    </row>
    <row r="65" spans="1:33" x14ac:dyDescent="0.25">
      <c r="A65" s="25" t="s">
        <v>27</v>
      </c>
      <c r="B65" s="32"/>
      <c r="C65" s="26"/>
      <c r="D65" s="27" t="s">
        <v>425</v>
      </c>
      <c r="E65" s="29" t="s">
        <v>363</v>
      </c>
      <c r="F65" s="28"/>
      <c r="G65" s="45">
        <v>0.16</v>
      </c>
      <c r="H65" s="45">
        <v>0.25</v>
      </c>
      <c r="I65" s="45">
        <v>0.66</v>
      </c>
      <c r="J65" s="53"/>
      <c r="K65" s="15">
        <v>4.25</v>
      </c>
      <c r="L65" s="15">
        <f>11.2*4</f>
        <v>44.8</v>
      </c>
      <c r="M65" s="15"/>
      <c r="N65" s="15"/>
      <c r="O65" s="15"/>
      <c r="P65" s="15"/>
      <c r="Q65" s="15"/>
      <c r="R65" s="15"/>
      <c r="S65" s="15"/>
      <c r="T65" s="15"/>
      <c r="U65" s="45"/>
      <c r="V65" s="45"/>
      <c r="W65" s="45"/>
      <c r="X65" s="15"/>
      <c r="Y65" s="15"/>
      <c r="Z65" s="46">
        <f t="shared" si="10"/>
        <v>44.8</v>
      </c>
      <c r="AA65" s="46">
        <f t="shared" si="2"/>
        <v>11.2</v>
      </c>
      <c r="AB65" s="46"/>
      <c r="AC65" s="46"/>
      <c r="AD65" s="46"/>
      <c r="AE65" s="15"/>
      <c r="AG65" s="3"/>
    </row>
    <row r="66" spans="1:33" x14ac:dyDescent="0.25">
      <c r="A66" s="25" t="s">
        <v>27</v>
      </c>
      <c r="B66" s="32"/>
      <c r="C66" s="26"/>
      <c r="D66" s="27" t="s">
        <v>426</v>
      </c>
      <c r="E66" s="29" t="s">
        <v>363</v>
      </c>
      <c r="F66" s="28"/>
      <c r="G66" s="45">
        <v>0.16</v>
      </c>
      <c r="H66" s="45">
        <v>0.25</v>
      </c>
      <c r="I66" s="45">
        <v>0.48</v>
      </c>
      <c r="J66" s="53"/>
      <c r="K66" s="15">
        <v>7.1</v>
      </c>
      <c r="L66" s="15">
        <f>(9.7-1.44)*6.8</f>
        <v>56.167999999999999</v>
      </c>
      <c r="M66" s="15"/>
      <c r="N66" s="15"/>
      <c r="O66" s="15"/>
      <c r="P66" s="15"/>
      <c r="Q66" s="15"/>
      <c r="R66" s="15"/>
      <c r="S66" s="15"/>
      <c r="T66" s="15"/>
      <c r="U66" s="45"/>
      <c r="V66" s="45"/>
      <c r="W66" s="45"/>
      <c r="X66" s="15"/>
      <c r="Y66" s="15"/>
      <c r="Z66" s="46">
        <f t="shared" si="10"/>
        <v>56.167999999999999</v>
      </c>
      <c r="AA66" s="46">
        <f t="shared" si="2"/>
        <v>14.042</v>
      </c>
      <c r="AB66" s="46"/>
      <c r="AC66" s="46"/>
      <c r="AD66" s="46"/>
      <c r="AE66" s="15"/>
      <c r="AG66" s="3"/>
    </row>
    <row r="67" spans="1:33" x14ac:dyDescent="0.25">
      <c r="A67" s="25" t="s">
        <v>27</v>
      </c>
      <c r="B67" s="32"/>
      <c r="C67" s="26"/>
      <c r="D67" s="27"/>
      <c r="E67" s="29" t="s">
        <v>363</v>
      </c>
      <c r="F67" s="28"/>
      <c r="G67" s="45">
        <v>0.16</v>
      </c>
      <c r="H67" s="45">
        <v>0.25</v>
      </c>
      <c r="I67" s="45">
        <v>0.66</v>
      </c>
      <c r="J67" s="53"/>
      <c r="K67" s="15">
        <v>7.1</v>
      </c>
      <c r="L67" s="15">
        <f>(0.66*2+0.12)*6.8</f>
        <v>9.7919999999999998</v>
      </c>
      <c r="M67" s="15">
        <f>0.7*0.4*2</f>
        <v>0.55999999999999994</v>
      </c>
      <c r="N67" s="15"/>
      <c r="O67" s="15"/>
      <c r="P67" s="15"/>
      <c r="Q67" s="15"/>
      <c r="R67" s="15"/>
      <c r="S67" s="15"/>
      <c r="T67" s="15"/>
      <c r="U67" s="45"/>
      <c r="V67" s="45"/>
      <c r="W67" s="45"/>
      <c r="X67" s="15"/>
      <c r="Y67" s="15"/>
      <c r="Z67" s="46">
        <f t="shared" si="10"/>
        <v>9.2319999999999993</v>
      </c>
      <c r="AA67" s="46">
        <f t="shared" si="2"/>
        <v>2.3079999999999998</v>
      </c>
      <c r="AB67" s="46"/>
      <c r="AC67" s="46"/>
      <c r="AD67" s="46"/>
      <c r="AE67" s="15"/>
      <c r="AG67" s="3"/>
    </row>
    <row r="68" spans="1:33" x14ac:dyDescent="0.25">
      <c r="A68" s="25" t="s">
        <v>27</v>
      </c>
      <c r="B68" s="32"/>
      <c r="C68" s="26"/>
      <c r="D68" s="27" t="s">
        <v>427</v>
      </c>
      <c r="E68" s="29" t="s">
        <v>363</v>
      </c>
      <c r="F68" s="28"/>
      <c r="G68" s="45">
        <v>0.16</v>
      </c>
      <c r="H68" s="45">
        <v>0.25</v>
      </c>
      <c r="I68" s="45">
        <v>0.66</v>
      </c>
      <c r="J68" s="53"/>
      <c r="K68" s="15">
        <v>4.55</v>
      </c>
      <c r="L68" s="15">
        <f>3.55*4.31</f>
        <v>15.300499999999998</v>
      </c>
      <c r="M68" s="15">
        <f>2.36*0.5</f>
        <v>1.18</v>
      </c>
      <c r="N68" s="15"/>
      <c r="O68" s="15"/>
      <c r="P68" s="15"/>
      <c r="Q68" s="15"/>
      <c r="R68" s="15"/>
      <c r="S68" s="15"/>
      <c r="T68" s="15"/>
      <c r="U68" s="45"/>
      <c r="V68" s="45"/>
      <c r="W68" s="45"/>
      <c r="X68" s="15"/>
      <c r="Y68" s="15"/>
      <c r="Z68" s="46">
        <f t="shared" si="10"/>
        <v>14.120499999999998</v>
      </c>
      <c r="AA68" s="46">
        <f t="shared" si="2"/>
        <v>3.5301249999999995</v>
      </c>
      <c r="AB68" s="46"/>
      <c r="AC68" s="46"/>
      <c r="AD68" s="46"/>
      <c r="AE68" s="15"/>
      <c r="AG68" s="3"/>
    </row>
    <row r="69" spans="1:33" x14ac:dyDescent="0.25">
      <c r="A69" s="25" t="s">
        <v>27</v>
      </c>
      <c r="B69" s="32"/>
      <c r="C69" s="26"/>
      <c r="D69" s="27" t="s">
        <v>428</v>
      </c>
      <c r="E69" s="29" t="s">
        <v>363</v>
      </c>
      <c r="F69" s="28"/>
      <c r="G69" s="45">
        <v>0.16</v>
      </c>
      <c r="H69" s="45">
        <v>0.25</v>
      </c>
      <c r="I69" s="45">
        <v>0.54</v>
      </c>
      <c r="J69" s="53"/>
      <c r="K69" s="15">
        <v>2.4500000000000002</v>
      </c>
      <c r="L69" s="15">
        <f>1.25*1.75</f>
        <v>2.1875</v>
      </c>
      <c r="M69" s="15"/>
      <c r="N69" s="15"/>
      <c r="O69" s="15"/>
      <c r="P69" s="15"/>
      <c r="Q69" s="15"/>
      <c r="R69" s="15"/>
      <c r="S69" s="15"/>
      <c r="T69" s="15"/>
      <c r="U69" s="45"/>
      <c r="V69" s="45"/>
      <c r="W69" s="45"/>
      <c r="X69" s="15"/>
      <c r="Y69" s="15"/>
      <c r="Z69" s="46">
        <f t="shared" si="10"/>
        <v>2.1875</v>
      </c>
      <c r="AA69" s="46">
        <f t="shared" si="2"/>
        <v>0.546875</v>
      </c>
      <c r="AB69" s="46"/>
      <c r="AC69" s="46"/>
      <c r="AD69" s="46"/>
      <c r="AE69" s="15"/>
      <c r="AG69" s="3"/>
    </row>
    <row r="70" spans="1:33" x14ac:dyDescent="0.25">
      <c r="A70" s="25" t="s">
        <v>27</v>
      </c>
      <c r="B70" s="32"/>
      <c r="C70" s="26"/>
      <c r="D70" s="27" t="s">
        <v>429</v>
      </c>
      <c r="E70" s="29" t="s">
        <v>363</v>
      </c>
      <c r="F70" s="28"/>
      <c r="G70" s="45">
        <v>0.16</v>
      </c>
      <c r="H70" s="45">
        <v>0.25</v>
      </c>
      <c r="I70" s="45">
        <v>0.66</v>
      </c>
      <c r="J70" s="53"/>
      <c r="K70" s="15">
        <v>3.55</v>
      </c>
      <c r="L70" s="15">
        <f>10.86*3.32</f>
        <v>36.055199999999999</v>
      </c>
      <c r="M70" s="15"/>
      <c r="N70" s="15"/>
      <c r="O70" s="15"/>
      <c r="P70" s="15"/>
      <c r="Q70" s="15"/>
      <c r="R70" s="15"/>
      <c r="S70" s="15"/>
      <c r="T70" s="15"/>
      <c r="U70" s="45"/>
      <c r="V70" s="45"/>
      <c r="W70" s="45"/>
      <c r="X70" s="15"/>
      <c r="Y70" s="15"/>
      <c r="Z70" s="46">
        <f t="shared" si="10"/>
        <v>36.055199999999999</v>
      </c>
      <c r="AA70" s="46">
        <f t="shared" si="2"/>
        <v>9.0137999999999998</v>
      </c>
      <c r="AB70" s="46"/>
      <c r="AC70" s="46"/>
      <c r="AD70" s="46"/>
      <c r="AE70" s="15"/>
      <c r="AG70" s="3"/>
    </row>
    <row r="71" spans="1:33" x14ac:dyDescent="0.25">
      <c r="A71" s="25" t="s">
        <v>27</v>
      </c>
      <c r="B71" s="32"/>
      <c r="C71" s="26"/>
      <c r="D71" s="27" t="s">
        <v>430</v>
      </c>
      <c r="E71" s="29" t="s">
        <v>363</v>
      </c>
      <c r="F71" s="28"/>
      <c r="G71" s="45">
        <v>0.16</v>
      </c>
      <c r="H71" s="45">
        <v>0.25</v>
      </c>
      <c r="I71" s="45">
        <v>0.48</v>
      </c>
      <c r="J71" s="53"/>
      <c r="K71" s="15">
        <v>5.8</v>
      </c>
      <c r="L71" s="15">
        <f>14.2*5.555</f>
        <v>78.880999999999986</v>
      </c>
      <c r="M71" s="15"/>
      <c r="N71" s="15"/>
      <c r="O71" s="15"/>
      <c r="P71" s="15"/>
      <c r="Q71" s="15"/>
      <c r="R71" s="15"/>
      <c r="S71" s="15"/>
      <c r="T71" s="15"/>
      <c r="U71" s="45"/>
      <c r="V71" s="45"/>
      <c r="W71" s="45"/>
      <c r="X71" s="15"/>
      <c r="Y71" s="15"/>
      <c r="Z71" s="46">
        <f t="shared" si="10"/>
        <v>78.880999999999986</v>
      </c>
      <c r="AA71" s="46">
        <f t="shared" si="2"/>
        <v>19.720249999999997</v>
      </c>
      <c r="AB71" s="46"/>
      <c r="AC71" s="46"/>
      <c r="AD71" s="46"/>
      <c r="AE71" s="15"/>
      <c r="AG71" s="3"/>
    </row>
    <row r="72" spans="1:33" x14ac:dyDescent="0.25">
      <c r="A72" s="25" t="s">
        <v>27</v>
      </c>
      <c r="B72" s="32"/>
      <c r="C72" s="26"/>
      <c r="D72" s="27" t="s">
        <v>406</v>
      </c>
      <c r="E72" s="29" t="s">
        <v>363</v>
      </c>
      <c r="F72" s="28"/>
      <c r="G72" s="45">
        <v>0.16</v>
      </c>
      <c r="H72" s="45">
        <v>0.25</v>
      </c>
      <c r="I72" s="45">
        <v>0.66</v>
      </c>
      <c r="J72" s="53"/>
      <c r="K72" s="15">
        <v>4.1500000000000004</v>
      </c>
      <c r="L72" s="15">
        <f>14.2*3.955</f>
        <v>56.161000000000001</v>
      </c>
      <c r="M72" s="15"/>
      <c r="N72" s="15"/>
      <c r="O72" s="15"/>
      <c r="P72" s="15"/>
      <c r="Q72" s="15"/>
      <c r="R72" s="15"/>
      <c r="S72" s="15"/>
      <c r="T72" s="15"/>
      <c r="U72" s="45"/>
      <c r="V72" s="45"/>
      <c r="W72" s="45"/>
      <c r="X72" s="15"/>
      <c r="Y72" s="15"/>
      <c r="Z72" s="46">
        <f t="shared" si="10"/>
        <v>56.161000000000001</v>
      </c>
      <c r="AA72" s="46">
        <f t="shared" si="2"/>
        <v>14.04025</v>
      </c>
      <c r="AB72" s="46"/>
      <c r="AC72" s="46"/>
      <c r="AD72" s="46"/>
      <c r="AE72" s="15"/>
      <c r="AG72" s="3"/>
    </row>
    <row r="73" spans="1:33" x14ac:dyDescent="0.25">
      <c r="A73" s="25" t="s">
        <v>27</v>
      </c>
      <c r="B73" s="32"/>
      <c r="C73" s="26"/>
      <c r="D73" s="27" t="s">
        <v>431</v>
      </c>
      <c r="E73" s="29" t="s">
        <v>363</v>
      </c>
      <c r="F73" s="28"/>
      <c r="G73" s="45">
        <v>0.16</v>
      </c>
      <c r="H73" s="45">
        <v>0.25</v>
      </c>
      <c r="I73" s="45">
        <v>0.48</v>
      </c>
      <c r="J73" s="53"/>
      <c r="K73" s="15">
        <v>4.45</v>
      </c>
      <c r="L73" s="15">
        <f>9.55*4.2</f>
        <v>40.110000000000007</v>
      </c>
      <c r="M73" s="15"/>
      <c r="N73" s="15"/>
      <c r="O73" s="15"/>
      <c r="P73" s="15"/>
      <c r="Q73" s="15"/>
      <c r="R73" s="15"/>
      <c r="S73" s="15"/>
      <c r="T73" s="15"/>
      <c r="U73" s="45"/>
      <c r="V73" s="45"/>
      <c r="W73" s="45"/>
      <c r="X73" s="15"/>
      <c r="Y73" s="15"/>
      <c r="Z73" s="46">
        <f t="shared" si="10"/>
        <v>40.110000000000007</v>
      </c>
      <c r="AA73" s="46">
        <f t="shared" si="2"/>
        <v>10.027500000000002</v>
      </c>
      <c r="AB73" s="46"/>
      <c r="AC73" s="46"/>
      <c r="AD73" s="46"/>
      <c r="AE73" s="15"/>
      <c r="AG73" s="3"/>
    </row>
    <row r="74" spans="1:33" x14ac:dyDescent="0.25">
      <c r="A74" s="25" t="s">
        <v>27</v>
      </c>
      <c r="B74" s="32"/>
      <c r="C74" s="26"/>
      <c r="D74" s="27" t="s">
        <v>432</v>
      </c>
      <c r="E74" s="29" t="s">
        <v>363</v>
      </c>
      <c r="F74" s="28"/>
      <c r="G74" s="45">
        <v>0.16</v>
      </c>
      <c r="H74" s="45">
        <v>0.25</v>
      </c>
      <c r="I74" s="45">
        <v>0.48</v>
      </c>
      <c r="J74" s="53"/>
      <c r="K74" s="15">
        <v>5.8</v>
      </c>
      <c r="L74" s="15">
        <f>9.35*5.51</f>
        <v>51.518499999999996</v>
      </c>
      <c r="M74" s="15"/>
      <c r="N74" s="15"/>
      <c r="O74" s="15"/>
      <c r="P74" s="15"/>
      <c r="Q74" s="15"/>
      <c r="R74" s="15"/>
      <c r="S74" s="15"/>
      <c r="T74" s="15"/>
      <c r="U74" s="45"/>
      <c r="V74" s="45"/>
      <c r="W74" s="45"/>
      <c r="X74" s="15"/>
      <c r="Y74" s="15"/>
      <c r="Z74" s="46">
        <f t="shared" si="10"/>
        <v>51.518499999999996</v>
      </c>
      <c r="AA74" s="46">
        <f t="shared" si="2"/>
        <v>12.879624999999999</v>
      </c>
      <c r="AB74" s="46"/>
      <c r="AC74" s="46"/>
      <c r="AD74" s="46"/>
      <c r="AE74" s="15"/>
      <c r="AG74" s="3"/>
    </row>
    <row r="75" spans="1:33" x14ac:dyDescent="0.25">
      <c r="A75" s="25" t="s">
        <v>27</v>
      </c>
      <c r="B75" s="32"/>
      <c r="C75" s="26"/>
      <c r="D75" s="27" t="s">
        <v>433</v>
      </c>
      <c r="E75" s="29" t="s">
        <v>363</v>
      </c>
      <c r="F75" s="28"/>
      <c r="G75" s="45">
        <v>0.16</v>
      </c>
      <c r="H75" s="45">
        <v>0.25</v>
      </c>
      <c r="I75" s="45">
        <v>0.48</v>
      </c>
      <c r="J75" s="53"/>
      <c r="K75" s="15">
        <v>5.25</v>
      </c>
      <c r="L75" s="15">
        <f>12.61*5.005</f>
        <v>63.113049999999994</v>
      </c>
      <c r="M75" s="15"/>
      <c r="N75" s="15"/>
      <c r="O75" s="15"/>
      <c r="P75" s="15"/>
      <c r="Q75" s="15"/>
      <c r="R75" s="15"/>
      <c r="S75" s="15"/>
      <c r="T75" s="15"/>
      <c r="U75" s="45"/>
      <c r="V75" s="45"/>
      <c r="W75" s="45"/>
      <c r="X75" s="15"/>
      <c r="Y75" s="15"/>
      <c r="Z75" s="46">
        <f t="shared" si="10"/>
        <v>63.113049999999994</v>
      </c>
      <c r="AA75" s="46">
        <f t="shared" si="2"/>
        <v>15.778262499999999</v>
      </c>
      <c r="AB75" s="46"/>
      <c r="AC75" s="46"/>
      <c r="AD75" s="46"/>
      <c r="AE75" s="15"/>
      <c r="AG75" s="3"/>
    </row>
    <row r="76" spans="1:33" x14ac:dyDescent="0.25">
      <c r="A76" s="25" t="s">
        <v>27</v>
      </c>
      <c r="B76" s="32"/>
      <c r="C76" s="26"/>
      <c r="D76" s="27" t="s">
        <v>434</v>
      </c>
      <c r="E76" s="29" t="s">
        <v>363</v>
      </c>
      <c r="F76" s="28"/>
      <c r="G76" s="45">
        <v>0.16</v>
      </c>
      <c r="H76" s="45">
        <v>0.25</v>
      </c>
      <c r="I76" s="45">
        <v>0.66</v>
      </c>
      <c r="J76" s="53"/>
      <c r="K76" s="15">
        <v>2.4500000000000002</v>
      </c>
      <c r="L76" s="15">
        <f>2.8*2.16</f>
        <v>6.048</v>
      </c>
      <c r="M76" s="15"/>
      <c r="N76" s="15"/>
      <c r="O76" s="15"/>
      <c r="P76" s="15"/>
      <c r="Q76" s="15"/>
      <c r="R76" s="15"/>
      <c r="S76" s="15"/>
      <c r="T76" s="15"/>
      <c r="U76" s="45"/>
      <c r="V76" s="45"/>
      <c r="W76" s="45"/>
      <c r="X76" s="15"/>
      <c r="Y76" s="15"/>
      <c r="Z76" s="46">
        <f t="shared" si="10"/>
        <v>6.048</v>
      </c>
      <c r="AA76" s="46">
        <f t="shared" ref="AA76:AA94" si="11">IF((L76-M76+N76)*H76=0,"",(L76-M76+N76)*H76)</f>
        <v>1.512</v>
      </c>
      <c r="AB76" s="46"/>
      <c r="AC76" s="46"/>
      <c r="AD76" s="46"/>
      <c r="AE76" s="15"/>
      <c r="AG76" s="3"/>
    </row>
    <row r="77" spans="1:33" x14ac:dyDescent="0.25">
      <c r="A77" s="25" t="s">
        <v>27</v>
      </c>
      <c r="B77" s="32"/>
      <c r="C77" s="26"/>
      <c r="D77" s="27" t="s">
        <v>435</v>
      </c>
      <c r="E77" s="29" t="s">
        <v>363</v>
      </c>
      <c r="F77" s="28"/>
      <c r="G77" s="45">
        <v>0.16</v>
      </c>
      <c r="H77" s="45">
        <v>0.25</v>
      </c>
      <c r="I77" s="45">
        <v>0.48</v>
      </c>
      <c r="J77" s="53"/>
      <c r="K77" s="15">
        <v>5.25</v>
      </c>
      <c r="L77" s="15">
        <f>3.96*5.005</f>
        <v>19.819800000000001</v>
      </c>
      <c r="M77" s="15"/>
      <c r="N77" s="15"/>
      <c r="O77" s="15"/>
      <c r="P77" s="15"/>
      <c r="Q77" s="15"/>
      <c r="R77" s="15"/>
      <c r="S77" s="15"/>
      <c r="T77" s="15"/>
      <c r="U77" s="45"/>
      <c r="V77" s="45"/>
      <c r="W77" s="45"/>
      <c r="X77" s="15"/>
      <c r="Y77" s="15"/>
      <c r="Z77" s="46">
        <f t="shared" si="10"/>
        <v>19.819800000000001</v>
      </c>
      <c r="AA77" s="46">
        <f t="shared" si="11"/>
        <v>4.9549500000000002</v>
      </c>
      <c r="AB77" s="46"/>
      <c r="AC77" s="46"/>
      <c r="AD77" s="46"/>
      <c r="AE77" s="15"/>
      <c r="AG77" s="3"/>
    </row>
    <row r="78" spans="1:33" x14ac:dyDescent="0.25">
      <c r="A78" s="25" t="s">
        <v>27</v>
      </c>
      <c r="B78" s="32"/>
      <c r="C78" s="26"/>
      <c r="D78" s="27" t="s">
        <v>436</v>
      </c>
      <c r="E78" s="29" t="s">
        <v>363</v>
      </c>
      <c r="F78" s="28"/>
      <c r="G78" s="45">
        <v>0.16</v>
      </c>
      <c r="H78" s="45">
        <v>0.25</v>
      </c>
      <c r="I78" s="45">
        <v>0.66</v>
      </c>
      <c r="J78" s="53"/>
      <c r="K78" s="15">
        <v>2.7</v>
      </c>
      <c r="L78" s="15">
        <f>4.29*2.42</f>
        <v>10.3818</v>
      </c>
      <c r="M78" s="15">
        <f>0.82*0.83</f>
        <v>0.68059999999999987</v>
      </c>
      <c r="N78" s="15"/>
      <c r="O78" s="15"/>
      <c r="P78" s="15"/>
      <c r="Q78" s="15"/>
      <c r="R78" s="15"/>
      <c r="S78" s="15"/>
      <c r="T78" s="15"/>
      <c r="U78" s="45"/>
      <c r="V78" s="45"/>
      <c r="W78" s="45"/>
      <c r="X78" s="15"/>
      <c r="Y78" s="15"/>
      <c r="Z78" s="46">
        <f t="shared" si="10"/>
        <v>9.7012</v>
      </c>
      <c r="AA78" s="46">
        <f t="shared" si="11"/>
        <v>2.4253</v>
      </c>
      <c r="AB78" s="46"/>
      <c r="AC78" s="46"/>
      <c r="AD78" s="46"/>
      <c r="AE78" s="15"/>
      <c r="AG78" s="3"/>
    </row>
    <row r="79" spans="1:33" x14ac:dyDescent="0.25">
      <c r="A79" s="25" t="s">
        <v>27</v>
      </c>
      <c r="B79" s="32"/>
      <c r="C79" s="26"/>
      <c r="D79" s="27" t="s">
        <v>437</v>
      </c>
      <c r="E79" s="29" t="s">
        <v>363</v>
      </c>
      <c r="F79" s="28"/>
      <c r="G79" s="45">
        <v>0.16</v>
      </c>
      <c r="H79" s="45">
        <v>0.25</v>
      </c>
      <c r="I79" s="45">
        <v>0.66</v>
      </c>
      <c r="J79" s="53"/>
      <c r="K79" s="15">
        <v>4.25</v>
      </c>
      <c r="L79" s="15">
        <f>2.655*3.96</f>
        <v>10.5138</v>
      </c>
      <c r="M79" s="15"/>
      <c r="N79" s="15"/>
      <c r="O79" s="15"/>
      <c r="P79" s="15"/>
      <c r="Q79" s="15"/>
      <c r="R79" s="15"/>
      <c r="S79" s="15"/>
      <c r="T79" s="15"/>
      <c r="U79" s="45"/>
      <c r="V79" s="45"/>
      <c r="W79" s="45"/>
      <c r="X79" s="15"/>
      <c r="Y79" s="15"/>
      <c r="Z79" s="46">
        <f t="shared" si="10"/>
        <v>10.5138</v>
      </c>
      <c r="AA79" s="46">
        <f t="shared" si="11"/>
        <v>2.62845</v>
      </c>
      <c r="AB79" s="46"/>
      <c r="AC79" s="46"/>
      <c r="AD79" s="46"/>
      <c r="AE79" s="15"/>
      <c r="AG79" s="3"/>
    </row>
    <row r="80" spans="1:33" x14ac:dyDescent="0.25">
      <c r="A80" s="25" t="s">
        <v>27</v>
      </c>
      <c r="B80" s="32"/>
      <c r="C80" s="26"/>
      <c r="D80" s="27" t="s">
        <v>438</v>
      </c>
      <c r="E80" s="29" t="s">
        <v>363</v>
      </c>
      <c r="F80" s="28"/>
      <c r="G80" s="45">
        <v>0.16</v>
      </c>
      <c r="H80" s="45">
        <v>0.25</v>
      </c>
      <c r="I80" s="45">
        <v>0.48</v>
      </c>
      <c r="J80" s="53"/>
      <c r="K80" s="15">
        <v>5.25</v>
      </c>
      <c r="L80" s="15">
        <f>14.475*5.015</f>
        <v>72.592124999999996</v>
      </c>
      <c r="M80" s="15"/>
      <c r="N80" s="15"/>
      <c r="O80" s="15"/>
      <c r="P80" s="15"/>
      <c r="Q80" s="15"/>
      <c r="R80" s="15"/>
      <c r="S80" s="15"/>
      <c r="T80" s="15"/>
      <c r="U80" s="45"/>
      <c r="V80" s="45"/>
      <c r="W80" s="45"/>
      <c r="X80" s="15"/>
      <c r="Y80" s="15"/>
      <c r="Z80" s="46">
        <f t="shared" si="10"/>
        <v>72.592124999999996</v>
      </c>
      <c r="AA80" s="46">
        <f t="shared" si="11"/>
        <v>18.148031249999999</v>
      </c>
      <c r="AB80" s="46"/>
      <c r="AC80" s="46"/>
      <c r="AD80" s="46"/>
      <c r="AE80" s="15"/>
      <c r="AG80" s="3"/>
    </row>
    <row r="81" spans="1:33" x14ac:dyDescent="0.25">
      <c r="A81" s="25" t="s">
        <v>27</v>
      </c>
      <c r="B81" s="32"/>
      <c r="C81" s="26"/>
      <c r="D81" s="27" t="s">
        <v>439</v>
      </c>
      <c r="E81" s="29" t="s">
        <v>363</v>
      </c>
      <c r="F81" s="28"/>
      <c r="G81" s="45">
        <v>0.16</v>
      </c>
      <c r="H81" s="45">
        <v>0.25</v>
      </c>
      <c r="I81" s="45">
        <v>0.66</v>
      </c>
      <c r="J81" s="53"/>
      <c r="K81" s="15">
        <v>5.0999999999999996</v>
      </c>
      <c r="L81" s="15">
        <f>12.605*4.865</f>
        <v>61.323325000000004</v>
      </c>
      <c r="M81" s="15"/>
      <c r="N81" s="15"/>
      <c r="O81" s="15"/>
      <c r="P81" s="15"/>
      <c r="Q81" s="15"/>
      <c r="R81" s="15"/>
      <c r="S81" s="15"/>
      <c r="T81" s="15"/>
      <c r="U81" s="45"/>
      <c r="V81" s="45"/>
      <c r="W81" s="45"/>
      <c r="X81" s="15"/>
      <c r="Y81" s="15"/>
      <c r="Z81" s="46">
        <f t="shared" si="10"/>
        <v>61.323325000000004</v>
      </c>
      <c r="AA81" s="46">
        <f t="shared" si="11"/>
        <v>15.330831250000001</v>
      </c>
      <c r="AB81" s="46"/>
      <c r="AC81" s="46"/>
      <c r="AD81" s="46"/>
      <c r="AE81" s="15"/>
      <c r="AG81" s="3"/>
    </row>
    <row r="82" spans="1:33" x14ac:dyDescent="0.25">
      <c r="A82" s="25" t="s">
        <v>27</v>
      </c>
      <c r="B82" s="32"/>
      <c r="C82" s="26"/>
      <c r="D82" s="27" t="s">
        <v>440</v>
      </c>
      <c r="E82" s="29" t="s">
        <v>363</v>
      </c>
      <c r="F82" s="28"/>
      <c r="G82" s="45">
        <v>0.16</v>
      </c>
      <c r="H82" s="45">
        <v>0.25</v>
      </c>
      <c r="I82" s="45">
        <v>0.66</v>
      </c>
      <c r="J82" s="53"/>
      <c r="K82" s="15">
        <v>2.4500000000000002</v>
      </c>
      <c r="L82" s="15">
        <f>2.21*1.51</f>
        <v>3.3371</v>
      </c>
      <c r="M82" s="15"/>
      <c r="N82" s="15"/>
      <c r="O82" s="15"/>
      <c r="P82" s="15"/>
      <c r="Q82" s="15"/>
      <c r="R82" s="15"/>
      <c r="S82" s="15"/>
      <c r="T82" s="15"/>
      <c r="U82" s="45"/>
      <c r="V82" s="45"/>
      <c r="W82" s="45"/>
      <c r="X82" s="15"/>
      <c r="Y82" s="15"/>
      <c r="Z82" s="46">
        <f t="shared" si="10"/>
        <v>3.3371</v>
      </c>
      <c r="AA82" s="46">
        <f t="shared" si="11"/>
        <v>0.83427499999999999</v>
      </c>
      <c r="AB82" s="46"/>
      <c r="AC82" s="46"/>
      <c r="AD82" s="46"/>
      <c r="AE82" s="15"/>
      <c r="AG82" s="3"/>
    </row>
    <row r="83" spans="1:33" x14ac:dyDescent="0.25">
      <c r="A83" s="25" t="s">
        <v>27</v>
      </c>
      <c r="B83" s="32"/>
      <c r="C83" s="26"/>
      <c r="D83" s="27" t="s">
        <v>441</v>
      </c>
      <c r="E83" s="29" t="s">
        <v>363</v>
      </c>
      <c r="F83" s="28"/>
      <c r="G83" s="45">
        <v>0.16</v>
      </c>
      <c r="H83" s="45">
        <v>0.25</v>
      </c>
      <c r="I83" s="45">
        <v>0.48</v>
      </c>
      <c r="J83" s="53"/>
      <c r="K83" s="15">
        <v>5.7</v>
      </c>
      <c r="L83" s="15">
        <f>6.57*5.455</f>
        <v>35.839350000000003</v>
      </c>
      <c r="M83" s="15"/>
      <c r="N83" s="15"/>
      <c r="O83" s="15"/>
      <c r="P83" s="15"/>
      <c r="Q83" s="15"/>
      <c r="R83" s="15"/>
      <c r="S83" s="15"/>
      <c r="T83" s="15"/>
      <c r="U83" s="45"/>
      <c r="V83" s="45"/>
      <c r="W83" s="45"/>
      <c r="X83" s="15"/>
      <c r="Y83" s="15"/>
      <c r="Z83" s="46">
        <f t="shared" si="10"/>
        <v>35.839350000000003</v>
      </c>
      <c r="AA83" s="46">
        <f t="shared" si="11"/>
        <v>8.9598375000000008</v>
      </c>
      <c r="AB83" s="46"/>
      <c r="AC83" s="46"/>
      <c r="AD83" s="46"/>
      <c r="AE83" s="15"/>
      <c r="AG83" s="3"/>
    </row>
    <row r="84" spans="1:33" x14ac:dyDescent="0.25">
      <c r="A84" s="25" t="s">
        <v>27</v>
      </c>
      <c r="B84" s="32"/>
      <c r="C84" s="26"/>
      <c r="D84" s="27" t="s">
        <v>442</v>
      </c>
      <c r="E84" s="29" t="s">
        <v>363</v>
      </c>
      <c r="F84" s="28"/>
      <c r="G84" s="45">
        <v>0.16</v>
      </c>
      <c r="H84" s="45">
        <v>0.25</v>
      </c>
      <c r="I84" s="45">
        <v>0.66</v>
      </c>
      <c r="J84" s="53"/>
      <c r="K84" s="15">
        <v>2.7</v>
      </c>
      <c r="L84" s="15">
        <f>6.8*2.44</f>
        <v>16.591999999999999</v>
      </c>
      <c r="M84" s="15">
        <f>0.5*0.5*2</f>
        <v>0.5</v>
      </c>
      <c r="N84" s="15"/>
      <c r="O84" s="15"/>
      <c r="P84" s="15"/>
      <c r="Q84" s="15"/>
      <c r="R84" s="15"/>
      <c r="S84" s="15"/>
      <c r="T84" s="15"/>
      <c r="U84" s="45"/>
      <c r="V84" s="45"/>
      <c r="W84" s="45"/>
      <c r="X84" s="15"/>
      <c r="Y84" s="15"/>
      <c r="Z84" s="46">
        <f t="shared" si="10"/>
        <v>16.091999999999999</v>
      </c>
      <c r="AA84" s="46">
        <f t="shared" si="11"/>
        <v>4.0229999999999997</v>
      </c>
      <c r="AB84" s="46"/>
      <c r="AC84" s="46"/>
      <c r="AD84" s="46"/>
      <c r="AE84" s="15"/>
      <c r="AG84" s="3"/>
    </row>
    <row r="85" spans="1:33" x14ac:dyDescent="0.25">
      <c r="A85" s="25" t="s">
        <v>27</v>
      </c>
      <c r="B85" s="32"/>
      <c r="C85" s="26"/>
      <c r="D85" s="27" t="s">
        <v>413</v>
      </c>
      <c r="E85" s="29" t="s">
        <v>363</v>
      </c>
      <c r="F85" s="28"/>
      <c r="G85" s="45">
        <v>0.16</v>
      </c>
      <c r="H85" s="45">
        <v>0.25</v>
      </c>
      <c r="I85" s="45">
        <v>0.66</v>
      </c>
      <c r="J85" s="53"/>
      <c r="K85" s="15">
        <v>4</v>
      </c>
      <c r="L85" s="15">
        <f>6.8*3.78</f>
        <v>25.703999999999997</v>
      </c>
      <c r="M85" s="15">
        <f>0.7*0.5*2</f>
        <v>0.7</v>
      </c>
      <c r="N85" s="15"/>
      <c r="O85" s="15"/>
      <c r="P85" s="15"/>
      <c r="Q85" s="15"/>
      <c r="R85" s="15"/>
      <c r="S85" s="15"/>
      <c r="T85" s="15"/>
      <c r="U85" s="45"/>
      <c r="V85" s="45"/>
      <c r="W85" s="45"/>
      <c r="X85" s="15"/>
      <c r="Y85" s="15"/>
      <c r="Z85" s="46">
        <f t="shared" si="10"/>
        <v>25.003999999999998</v>
      </c>
      <c r="AA85" s="46">
        <f t="shared" si="11"/>
        <v>6.2509999999999994</v>
      </c>
      <c r="AB85" s="46"/>
      <c r="AC85" s="46"/>
      <c r="AD85" s="46"/>
      <c r="AE85" s="15"/>
      <c r="AG85" s="3"/>
    </row>
    <row r="86" spans="1:33" x14ac:dyDescent="0.25">
      <c r="A86" s="25" t="s">
        <v>27</v>
      </c>
      <c r="B86" s="32"/>
      <c r="C86" s="26"/>
      <c r="D86" s="27" t="s">
        <v>443</v>
      </c>
      <c r="E86" s="29" t="s">
        <v>363</v>
      </c>
      <c r="F86" s="28"/>
      <c r="G86" s="45">
        <v>0.16</v>
      </c>
      <c r="H86" s="45">
        <v>0.25</v>
      </c>
      <c r="I86" s="45">
        <v>0.48</v>
      </c>
      <c r="J86" s="53"/>
      <c r="K86" s="15">
        <v>5.9</v>
      </c>
      <c r="L86" s="15">
        <f>12.36*5.66</f>
        <v>69.957599999999999</v>
      </c>
      <c r="M86" s="15"/>
      <c r="N86" s="15"/>
      <c r="O86" s="15"/>
      <c r="P86" s="15"/>
      <c r="Q86" s="15"/>
      <c r="R86" s="15"/>
      <c r="S86" s="15"/>
      <c r="T86" s="15"/>
      <c r="U86" s="45"/>
      <c r="V86" s="45"/>
      <c r="W86" s="45"/>
      <c r="X86" s="15"/>
      <c r="Y86" s="15"/>
      <c r="Z86" s="46">
        <f t="shared" si="10"/>
        <v>69.957599999999999</v>
      </c>
      <c r="AA86" s="46">
        <f t="shared" si="11"/>
        <v>17.4894</v>
      </c>
      <c r="AB86" s="46"/>
      <c r="AC86" s="46"/>
      <c r="AD86" s="46"/>
      <c r="AE86" s="15"/>
      <c r="AG86" s="3"/>
    </row>
    <row r="87" spans="1:33" x14ac:dyDescent="0.25">
      <c r="A87" s="25" t="s">
        <v>27</v>
      </c>
      <c r="B87" s="32"/>
      <c r="C87" s="26"/>
      <c r="D87" s="27" t="s">
        <v>444</v>
      </c>
      <c r="E87" s="29" t="s">
        <v>363</v>
      </c>
      <c r="F87" s="28"/>
      <c r="G87" s="45">
        <v>0.16</v>
      </c>
      <c r="H87" s="45">
        <v>0.25</v>
      </c>
      <c r="I87" s="45">
        <v>0.66</v>
      </c>
      <c r="J87" s="53"/>
      <c r="K87" s="15">
        <v>4</v>
      </c>
      <c r="L87" s="15">
        <f>8.8*3.75</f>
        <v>33</v>
      </c>
      <c r="M87" s="15"/>
      <c r="N87" s="15"/>
      <c r="O87" s="15"/>
      <c r="P87" s="15"/>
      <c r="Q87" s="15"/>
      <c r="R87" s="15"/>
      <c r="S87" s="15"/>
      <c r="T87" s="15"/>
      <c r="U87" s="45"/>
      <c r="V87" s="45"/>
      <c r="W87" s="45"/>
      <c r="X87" s="15"/>
      <c r="Y87" s="15"/>
      <c r="Z87" s="46">
        <f t="shared" si="10"/>
        <v>33</v>
      </c>
      <c r="AA87" s="46">
        <f t="shared" si="11"/>
        <v>8.25</v>
      </c>
      <c r="AB87" s="46"/>
      <c r="AC87" s="46"/>
      <c r="AD87" s="46"/>
      <c r="AE87" s="15"/>
      <c r="AG87" s="3"/>
    </row>
    <row r="88" spans="1:33" x14ac:dyDescent="0.25">
      <c r="A88" s="25" t="s">
        <v>27</v>
      </c>
      <c r="B88" s="32"/>
      <c r="C88" s="26"/>
      <c r="D88" s="27" t="s">
        <v>407</v>
      </c>
      <c r="E88" s="29" t="s">
        <v>363</v>
      </c>
      <c r="F88" s="28"/>
      <c r="G88" s="45">
        <v>0.16</v>
      </c>
      <c r="H88" s="45">
        <v>0.25</v>
      </c>
      <c r="I88" s="45">
        <v>0.66</v>
      </c>
      <c r="J88" s="53"/>
      <c r="K88" s="15">
        <v>4.25</v>
      </c>
      <c r="L88" s="15">
        <f>9.72*4.01</f>
        <v>38.977200000000003</v>
      </c>
      <c r="M88" s="15"/>
      <c r="N88" s="15"/>
      <c r="O88" s="15"/>
      <c r="P88" s="15"/>
      <c r="Q88" s="15"/>
      <c r="R88" s="15"/>
      <c r="S88" s="15"/>
      <c r="T88" s="15"/>
      <c r="U88" s="45"/>
      <c r="V88" s="45"/>
      <c r="W88" s="45"/>
      <c r="X88" s="15"/>
      <c r="Y88" s="15"/>
      <c r="Z88" s="46">
        <f t="shared" si="10"/>
        <v>38.977200000000003</v>
      </c>
      <c r="AA88" s="46">
        <f t="shared" si="11"/>
        <v>9.7443000000000008</v>
      </c>
      <c r="AB88" s="46"/>
      <c r="AC88" s="46"/>
      <c r="AD88" s="46"/>
      <c r="AE88" s="15"/>
      <c r="AG88" s="3"/>
    </row>
    <row r="89" spans="1:33" x14ac:dyDescent="0.25">
      <c r="A89" s="25" t="s">
        <v>27</v>
      </c>
      <c r="B89" s="32"/>
      <c r="C89" s="26"/>
      <c r="D89" s="27" t="s">
        <v>408</v>
      </c>
      <c r="E89" s="29" t="s">
        <v>363</v>
      </c>
      <c r="F89" s="28"/>
      <c r="G89" s="45">
        <v>0.16</v>
      </c>
      <c r="H89" s="45">
        <v>0.25</v>
      </c>
      <c r="I89" s="45">
        <v>0.66</v>
      </c>
      <c r="J89" s="53"/>
      <c r="K89" s="15">
        <v>4.7</v>
      </c>
      <c r="L89" s="15">
        <f>(25.655-4.08)*4.465</f>
        <v>96.332375000000013</v>
      </c>
      <c r="M89" s="15"/>
      <c r="N89" s="15"/>
      <c r="O89" s="15"/>
      <c r="P89" s="15"/>
      <c r="Q89" s="15"/>
      <c r="R89" s="15"/>
      <c r="S89" s="15"/>
      <c r="T89" s="15"/>
      <c r="U89" s="45"/>
      <c r="V89" s="45"/>
      <c r="W89" s="45"/>
      <c r="X89" s="15"/>
      <c r="Y89" s="15"/>
      <c r="Z89" s="46">
        <f t="shared" si="10"/>
        <v>96.332375000000013</v>
      </c>
      <c r="AA89" s="46">
        <f t="shared" si="11"/>
        <v>24.083093750000003</v>
      </c>
      <c r="AB89" s="46"/>
      <c r="AC89" s="46"/>
      <c r="AD89" s="46"/>
      <c r="AE89" s="15"/>
      <c r="AG89" s="3"/>
    </row>
    <row r="90" spans="1:33" x14ac:dyDescent="0.25">
      <c r="A90" s="25" t="s">
        <v>27</v>
      </c>
      <c r="B90" s="32"/>
      <c r="C90" s="26"/>
      <c r="D90" s="27"/>
      <c r="E90" s="29" t="s">
        <v>363</v>
      </c>
      <c r="F90" s="28"/>
      <c r="G90" s="45">
        <v>0.16</v>
      </c>
      <c r="H90" s="45">
        <v>0.25</v>
      </c>
      <c r="I90" s="45">
        <v>0.48</v>
      </c>
      <c r="J90" s="53"/>
      <c r="K90" s="15">
        <v>4.7</v>
      </c>
      <c r="L90" s="15">
        <f>(0.48*6+0.49+0.175*2+0.18*2)*4.465</f>
        <v>18.217199999999998</v>
      </c>
      <c r="M90" s="15">
        <f>2.31*0.35</f>
        <v>0.8085</v>
      </c>
      <c r="N90" s="15"/>
      <c r="O90" s="15"/>
      <c r="P90" s="15"/>
      <c r="Q90" s="15"/>
      <c r="R90" s="15"/>
      <c r="S90" s="15"/>
      <c r="T90" s="15"/>
      <c r="U90" s="45"/>
      <c r="V90" s="45"/>
      <c r="W90" s="45"/>
      <c r="X90" s="15"/>
      <c r="Y90" s="15"/>
      <c r="Z90" s="46">
        <f t="shared" si="10"/>
        <v>17.4087</v>
      </c>
      <c r="AA90" s="46">
        <f t="shared" si="11"/>
        <v>4.3521749999999999</v>
      </c>
      <c r="AB90" s="46"/>
      <c r="AC90" s="46"/>
      <c r="AD90" s="46"/>
      <c r="AE90" s="15"/>
      <c r="AG90" s="3"/>
    </row>
    <row r="91" spans="1:33" x14ac:dyDescent="0.25">
      <c r="A91" s="25" t="s">
        <v>27</v>
      </c>
      <c r="B91" s="32"/>
      <c r="C91" s="26"/>
      <c r="D91" s="27" t="s">
        <v>445</v>
      </c>
      <c r="E91" s="29" t="s">
        <v>363</v>
      </c>
      <c r="F91" s="28"/>
      <c r="G91" s="45">
        <v>0.16</v>
      </c>
      <c r="H91" s="45">
        <v>0.25</v>
      </c>
      <c r="I91" s="45">
        <v>0.48</v>
      </c>
      <c r="J91" s="53"/>
      <c r="K91" s="15">
        <v>5.35</v>
      </c>
      <c r="L91" s="15">
        <f>4.005*5.165</f>
        <v>20.685825000000001</v>
      </c>
      <c r="M91" s="15"/>
      <c r="N91" s="15"/>
      <c r="O91" s="15"/>
      <c r="P91" s="15"/>
      <c r="Q91" s="15"/>
      <c r="R91" s="15"/>
      <c r="S91" s="15"/>
      <c r="T91" s="15"/>
      <c r="U91" s="45"/>
      <c r="V91" s="45"/>
      <c r="W91" s="45"/>
      <c r="X91" s="15"/>
      <c r="Y91" s="15"/>
      <c r="Z91" s="46">
        <f t="shared" si="10"/>
        <v>20.685825000000001</v>
      </c>
      <c r="AA91" s="46">
        <f t="shared" si="11"/>
        <v>5.1714562500000003</v>
      </c>
      <c r="AB91" s="46"/>
      <c r="AC91" s="46"/>
      <c r="AD91" s="46"/>
      <c r="AE91" s="15"/>
      <c r="AG91" s="3"/>
    </row>
    <row r="92" spans="1:33" x14ac:dyDescent="0.25">
      <c r="A92" s="25" t="s">
        <v>27</v>
      </c>
      <c r="B92" s="32"/>
      <c r="C92" s="26"/>
      <c r="D92" s="27" t="s">
        <v>446</v>
      </c>
      <c r="E92" s="29" t="s">
        <v>363</v>
      </c>
      <c r="F92" s="28"/>
      <c r="G92" s="45">
        <v>0.16</v>
      </c>
      <c r="H92" s="45">
        <v>0.25</v>
      </c>
      <c r="I92" s="45">
        <v>0.66</v>
      </c>
      <c r="J92" s="53"/>
      <c r="K92" s="15">
        <v>4.55</v>
      </c>
      <c r="L92" s="15">
        <f>9.555*4.305</f>
        <v>41.134274999999995</v>
      </c>
      <c r="M92" s="15"/>
      <c r="N92" s="15"/>
      <c r="O92" s="15"/>
      <c r="P92" s="15"/>
      <c r="Q92" s="15"/>
      <c r="R92" s="15"/>
      <c r="S92" s="15"/>
      <c r="T92" s="15"/>
      <c r="U92" s="45"/>
      <c r="V92" s="45"/>
      <c r="W92" s="45"/>
      <c r="X92" s="15"/>
      <c r="Y92" s="15"/>
      <c r="Z92" s="46">
        <f t="shared" si="10"/>
        <v>41.134274999999995</v>
      </c>
      <c r="AA92" s="46">
        <f t="shared" si="11"/>
        <v>10.283568749999999</v>
      </c>
      <c r="AB92" s="46"/>
      <c r="AC92" s="46"/>
      <c r="AD92" s="46"/>
      <c r="AE92" s="15"/>
      <c r="AG92" s="3"/>
    </row>
    <row r="93" spans="1:33" x14ac:dyDescent="0.25">
      <c r="A93" s="25" t="s">
        <v>27</v>
      </c>
      <c r="B93" s="32"/>
      <c r="C93" s="26"/>
      <c r="D93" s="27" t="s">
        <v>447</v>
      </c>
      <c r="E93" s="29" t="s">
        <v>363</v>
      </c>
      <c r="F93" s="28"/>
      <c r="G93" s="45">
        <v>0.16</v>
      </c>
      <c r="H93" s="45">
        <v>0.25</v>
      </c>
      <c r="I93" s="45">
        <v>0.48</v>
      </c>
      <c r="J93" s="53"/>
      <c r="K93" s="15">
        <v>5.25</v>
      </c>
      <c r="L93" s="15">
        <f>25.415*5.005</f>
        <v>127.20207499999999</v>
      </c>
      <c r="M93" s="15"/>
      <c r="N93" s="15"/>
      <c r="O93" s="15"/>
      <c r="P93" s="15"/>
      <c r="Q93" s="15"/>
      <c r="R93" s="15"/>
      <c r="S93" s="15"/>
      <c r="T93" s="15"/>
      <c r="U93" s="45"/>
      <c r="V93" s="45"/>
      <c r="W93" s="45"/>
      <c r="X93" s="15"/>
      <c r="Y93" s="15"/>
      <c r="Z93" s="46">
        <f t="shared" si="10"/>
        <v>127.20207499999999</v>
      </c>
      <c r="AA93" s="46">
        <f t="shared" si="11"/>
        <v>31.800518749999998</v>
      </c>
      <c r="AB93" s="46"/>
      <c r="AC93" s="46"/>
      <c r="AD93" s="46"/>
      <c r="AE93" s="15"/>
      <c r="AG93" s="3"/>
    </row>
    <row r="94" spans="1:33" x14ac:dyDescent="0.25">
      <c r="A94" s="25"/>
      <c r="B94" s="32"/>
      <c r="C94" s="26"/>
      <c r="D94" s="27"/>
      <c r="E94" s="29"/>
      <c r="F94" s="28"/>
      <c r="G94" s="45"/>
      <c r="H94" s="45"/>
      <c r="I94" s="45"/>
      <c r="J94" s="53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45"/>
      <c r="V94" s="45"/>
      <c r="W94" s="45"/>
      <c r="X94" s="15"/>
      <c r="Y94" s="15"/>
      <c r="Z94" s="46" t="str">
        <f t="shared" si="0"/>
        <v/>
      </c>
      <c r="AA94" s="46" t="str">
        <f t="shared" si="11"/>
        <v/>
      </c>
      <c r="AB94" s="46"/>
      <c r="AC94" s="46"/>
      <c r="AD94" s="46"/>
      <c r="AE94" s="15"/>
    </row>
    <row r="95" spans="1:33" x14ac:dyDescent="0.25">
      <c r="A95" s="5"/>
      <c r="B95" s="5"/>
      <c r="C95" s="5"/>
      <c r="D95" s="5"/>
      <c r="E95" s="11"/>
      <c r="F95" s="6" t="s">
        <v>6</v>
      </c>
      <c r="G95" s="7"/>
      <c r="H95" s="7"/>
      <c r="I95" s="7"/>
      <c r="J95" s="7"/>
      <c r="K95" s="18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48">
        <f>SUBTOTAL(9,Z10:Z94)</f>
        <v>2946.1375000000007</v>
      </c>
      <c r="AA95" s="48">
        <f>SUBTOTAL(9,AA10:AA94)</f>
        <v>678.56254249999995</v>
      </c>
      <c r="AB95" s="48">
        <f>SUBTOTAL(9,AB10:AB94)</f>
        <v>0</v>
      </c>
      <c r="AC95" s="48">
        <f>SUBTOTAL(9,AC10:AC94)</f>
        <v>0</v>
      </c>
      <c r="AD95" s="48">
        <f>SUBTOTAL(9,AD10:AD94)</f>
        <v>0</v>
      </c>
      <c r="AE95" s="48"/>
    </row>
    <row r="96" spans="1:33" x14ac:dyDescent="0.25">
      <c r="A96" s="20"/>
      <c r="B96" s="20"/>
      <c r="C96" s="20"/>
      <c r="D96" s="20"/>
      <c r="E96" s="20"/>
      <c r="F96" s="20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8" spans="1:30" x14ac:dyDescent="0.25">
      <c r="A98" t="s">
        <v>28</v>
      </c>
    </row>
    <row r="99" spans="1:30" x14ac:dyDescent="0.25">
      <c r="A99" t="s">
        <v>31</v>
      </c>
      <c r="Z99" s="49"/>
      <c r="AA99" s="49"/>
      <c r="AB99" s="49"/>
      <c r="AC99" s="49"/>
      <c r="AD99" s="49"/>
    </row>
  </sheetData>
  <autoFilter ref="A2:AD94" xr:uid="{4B446813-E5B4-45D2-BBEA-4E82C922A060}"/>
  <mergeCells count="41">
    <mergeCell ref="A3:D3"/>
    <mergeCell ref="E3:F3"/>
    <mergeCell ref="G3:N3"/>
    <mergeCell ref="O3:Y4"/>
    <mergeCell ref="Z3:AD4"/>
    <mergeCell ref="A4:A8"/>
    <mergeCell ref="B4:C4"/>
    <mergeCell ref="D4:D8"/>
    <mergeCell ref="E4:E8"/>
    <mergeCell ref="F4:F8"/>
    <mergeCell ref="Z5:Z7"/>
    <mergeCell ref="W6:W7"/>
    <mergeCell ref="X6:X7"/>
    <mergeCell ref="Y6:Y7"/>
    <mergeCell ref="K6:K7"/>
    <mergeCell ref="G4:N4"/>
    <mergeCell ref="B5:B8"/>
    <mergeCell ref="C5:C8"/>
    <mergeCell ref="O5:U5"/>
    <mergeCell ref="V5:Y5"/>
    <mergeCell ref="R6:R7"/>
    <mergeCell ref="S6:S7"/>
    <mergeCell ref="T6:T7"/>
    <mergeCell ref="U6:U7"/>
    <mergeCell ref="V6:V7"/>
    <mergeCell ref="J6:J7"/>
    <mergeCell ref="AB6:AB7"/>
    <mergeCell ref="AC6:AC7"/>
    <mergeCell ref="AD6:AD7"/>
    <mergeCell ref="E9:F9"/>
    <mergeCell ref="L6:L7"/>
    <mergeCell ref="M6:M7"/>
    <mergeCell ref="N6:N7"/>
    <mergeCell ref="G6:G7"/>
    <mergeCell ref="H6:H7"/>
    <mergeCell ref="I6:I7"/>
    <mergeCell ref="AA5:AA7"/>
    <mergeCell ref="AB5:AD5"/>
    <mergeCell ref="O6:O7"/>
    <mergeCell ref="P6:P7"/>
    <mergeCell ref="Q6:Q7"/>
  </mergeCells>
  <phoneticPr fontId="11" type="noConversion"/>
  <pageMargins left="0.25" right="0.25" top="0.75" bottom="0.75" header="0.3" footer="0.3"/>
  <pageSetup paperSize="9" scale="70" fitToHeight="0" orientation="landscape" r:id="rId1"/>
  <headerFooter>
    <oddHeader>&amp;A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20669-9CF4-456D-BFE0-74C3285742FB}">
  <sheetPr>
    <tabColor rgb="FF0070C0"/>
    <pageSetUpPr fitToPage="1"/>
  </sheetPr>
  <dimension ref="A1:S30"/>
  <sheetViews>
    <sheetView zoomScale="115" zoomScaleNormal="115" workbookViewId="0">
      <pane ySplit="9" topLeftCell="A10" activePane="bottomLeft" state="frozen"/>
      <selection pane="bottomLeft" activeCell="F13" sqref="F13"/>
    </sheetView>
  </sheetViews>
  <sheetFormatPr defaultRowHeight="15" x14ac:dyDescent="0.25"/>
  <cols>
    <col min="1" max="1" width="2.85546875" customWidth="1"/>
    <col min="2" max="3" width="4.7109375" customWidth="1"/>
    <col min="4" max="5" width="5" customWidth="1"/>
    <col min="6" max="6" width="26.5703125" customWidth="1"/>
    <col min="7" max="9" width="6.28515625" customWidth="1"/>
    <col min="10" max="10" width="5.42578125" customWidth="1"/>
    <col min="11" max="13" width="6.28515625" customWidth="1"/>
    <col min="14" max="16" width="6.85546875" customWidth="1"/>
    <col min="17" max="17" width="0.7109375" customWidth="1"/>
  </cols>
  <sheetData>
    <row r="1" spans="1:19" ht="18.75" x14ac:dyDescent="0.3">
      <c r="A1" s="1" t="s">
        <v>584</v>
      </c>
      <c r="B1" s="1"/>
      <c r="C1" s="1"/>
      <c r="D1" s="1"/>
      <c r="E1" s="1"/>
      <c r="F1" s="1"/>
    </row>
    <row r="2" spans="1:19" ht="15.75" thickBot="1" x14ac:dyDescent="0.3"/>
    <row r="3" spans="1:19" ht="15" customHeight="1" x14ac:dyDescent="0.25">
      <c r="A3" s="82" t="s">
        <v>8</v>
      </c>
      <c r="B3" s="78"/>
      <c r="C3" s="78"/>
      <c r="D3" s="78"/>
      <c r="E3" s="78" t="s">
        <v>19</v>
      </c>
      <c r="F3" s="78"/>
      <c r="G3" s="72" t="s">
        <v>1</v>
      </c>
      <c r="H3" s="73"/>
      <c r="I3" s="73"/>
      <c r="J3" s="73"/>
      <c r="K3" s="73"/>
      <c r="L3" s="73"/>
      <c r="M3" s="73"/>
      <c r="N3" s="55" t="s">
        <v>15</v>
      </c>
      <c r="O3" s="56"/>
      <c r="P3" s="56"/>
      <c r="Q3" s="4"/>
    </row>
    <row r="4" spans="1:19" x14ac:dyDescent="0.25">
      <c r="A4" s="89" t="s">
        <v>21</v>
      </c>
      <c r="B4" s="87" t="s">
        <v>78</v>
      </c>
      <c r="C4" s="88"/>
      <c r="D4" s="79" t="s">
        <v>7</v>
      </c>
      <c r="E4" s="83" t="s">
        <v>14</v>
      </c>
      <c r="F4" s="85" t="s">
        <v>0</v>
      </c>
      <c r="G4" s="75" t="s">
        <v>9</v>
      </c>
      <c r="H4" s="76"/>
      <c r="I4" s="76"/>
      <c r="J4" s="76"/>
      <c r="K4" s="76"/>
      <c r="L4" s="76"/>
      <c r="M4" s="76"/>
      <c r="N4" s="58"/>
      <c r="O4" s="59"/>
      <c r="P4" s="59"/>
      <c r="Q4" s="8"/>
    </row>
    <row r="5" spans="1:19" ht="15" customHeight="1" x14ac:dyDescent="0.25">
      <c r="A5" s="90"/>
      <c r="B5" s="79" t="s">
        <v>79</v>
      </c>
      <c r="C5" s="79" t="s">
        <v>80</v>
      </c>
      <c r="D5" s="80"/>
      <c r="E5" s="83"/>
      <c r="F5" s="85"/>
      <c r="G5" s="52" t="s">
        <v>2</v>
      </c>
      <c r="H5" s="52" t="s">
        <v>36</v>
      </c>
      <c r="I5" s="52" t="s">
        <v>366</v>
      </c>
      <c r="J5" s="52" t="s">
        <v>585</v>
      </c>
      <c r="K5" s="115" t="s">
        <v>591</v>
      </c>
      <c r="L5" s="115" t="s">
        <v>590</v>
      </c>
      <c r="M5" s="115" t="s">
        <v>635</v>
      </c>
      <c r="N5" s="66" t="s">
        <v>585</v>
      </c>
      <c r="O5" s="66" t="s">
        <v>2</v>
      </c>
      <c r="P5" s="66" t="s">
        <v>609</v>
      </c>
      <c r="Q5" s="8"/>
    </row>
    <row r="6" spans="1:19" ht="30" customHeight="1" x14ac:dyDescent="0.25">
      <c r="A6" s="90"/>
      <c r="B6" s="80"/>
      <c r="C6" s="80"/>
      <c r="D6" s="80"/>
      <c r="E6" s="83"/>
      <c r="F6" s="85"/>
      <c r="G6" s="93"/>
      <c r="H6" s="92"/>
      <c r="I6" s="92"/>
      <c r="J6" s="92"/>
      <c r="K6" s="92"/>
      <c r="L6" s="92"/>
      <c r="M6" s="92"/>
      <c r="N6" s="67"/>
      <c r="O6" s="67"/>
      <c r="P6" s="67"/>
      <c r="Q6" s="8"/>
    </row>
    <row r="7" spans="1:19" x14ac:dyDescent="0.25">
      <c r="A7" s="90"/>
      <c r="B7" s="80"/>
      <c r="C7" s="80"/>
      <c r="D7" s="80"/>
      <c r="E7" s="83"/>
      <c r="F7" s="85"/>
      <c r="G7" s="93"/>
      <c r="H7" s="92"/>
      <c r="I7" s="92"/>
      <c r="J7" s="92"/>
      <c r="K7" s="92"/>
      <c r="L7" s="92"/>
      <c r="M7" s="92"/>
      <c r="N7" s="67"/>
      <c r="O7" s="67"/>
      <c r="P7" s="67"/>
      <c r="Q7" s="8"/>
    </row>
    <row r="8" spans="1:19" x14ac:dyDescent="0.25">
      <c r="A8" s="91"/>
      <c r="B8" s="81"/>
      <c r="C8" s="81"/>
      <c r="D8" s="81"/>
      <c r="E8" s="84"/>
      <c r="F8" s="86"/>
      <c r="G8" s="52" t="s">
        <v>5</v>
      </c>
      <c r="H8" s="51" t="s">
        <v>5</v>
      </c>
      <c r="I8" s="52" t="s">
        <v>5</v>
      </c>
      <c r="J8" s="52" t="s">
        <v>586</v>
      </c>
      <c r="K8" s="52" t="s">
        <v>592</v>
      </c>
      <c r="L8" s="52" t="s">
        <v>593</v>
      </c>
      <c r="M8" s="52" t="s">
        <v>636</v>
      </c>
      <c r="N8" s="52" t="s">
        <v>586</v>
      </c>
      <c r="O8" s="52" t="s">
        <v>5</v>
      </c>
      <c r="P8" s="52" t="s">
        <v>5</v>
      </c>
      <c r="Q8" s="8"/>
    </row>
    <row r="9" spans="1:19" ht="3.75" customHeight="1" thickBot="1" x14ac:dyDescent="0.3">
      <c r="A9" s="9"/>
      <c r="B9" s="12"/>
      <c r="C9" s="12"/>
      <c r="D9" s="12"/>
      <c r="E9" s="68"/>
      <c r="F9" s="68"/>
      <c r="G9" s="38"/>
      <c r="H9" s="38"/>
      <c r="I9" s="38"/>
      <c r="J9" s="38"/>
      <c r="K9" s="38"/>
      <c r="L9" s="38"/>
      <c r="M9" s="38"/>
      <c r="N9" s="38"/>
      <c r="O9" s="38"/>
      <c r="P9" s="38"/>
      <c r="Q9" s="10"/>
    </row>
    <row r="10" spans="1:19" x14ac:dyDescent="0.25">
      <c r="A10" s="33" t="s">
        <v>22</v>
      </c>
      <c r="B10" s="32"/>
      <c r="C10" s="26"/>
      <c r="D10" s="27"/>
      <c r="E10" s="29"/>
      <c r="F10" s="28"/>
      <c r="G10" s="45"/>
      <c r="H10" s="45"/>
      <c r="I10" s="45"/>
      <c r="J10" s="53"/>
      <c r="K10" s="45"/>
      <c r="L10" s="45"/>
      <c r="M10" s="45"/>
      <c r="N10" s="46" t="str">
        <f>IF(J10=0,"",J10)</f>
        <v/>
      </c>
      <c r="O10" s="46" t="str">
        <f>IF(G10*J10=0,"",G10*J10)</f>
        <v/>
      </c>
      <c r="P10" s="46" t="str">
        <f>IF(H10*2*J10=0,"",H10*2*J10)</f>
        <v/>
      </c>
      <c r="Q10" s="15"/>
      <c r="S10" s="3"/>
    </row>
    <row r="11" spans="1:19" x14ac:dyDescent="0.25">
      <c r="A11" s="25" t="s">
        <v>24</v>
      </c>
      <c r="B11" s="32" t="s">
        <v>594</v>
      </c>
      <c r="C11" s="26" t="s">
        <v>595</v>
      </c>
      <c r="D11" s="27" t="s">
        <v>588</v>
      </c>
      <c r="E11" s="29" t="s">
        <v>587</v>
      </c>
      <c r="F11" s="28"/>
      <c r="G11" s="45">
        <v>9.39</v>
      </c>
      <c r="H11" s="45">
        <v>2.12</v>
      </c>
      <c r="I11" s="45">
        <v>0.32</v>
      </c>
      <c r="J11" s="53">
        <v>1</v>
      </c>
      <c r="K11" s="45">
        <v>0.38500000000000001</v>
      </c>
      <c r="L11" s="45">
        <f>G11*H11*K11</f>
        <v>7.6641180000000002</v>
      </c>
      <c r="M11" s="45">
        <f>H11*K11</f>
        <v>0.81620000000000004</v>
      </c>
      <c r="N11" s="46">
        <f>IF(J11=0,"",J11)</f>
        <v>1</v>
      </c>
      <c r="O11" s="46">
        <f>IF(G11*J11=0,"",G11*J11)</f>
        <v>9.39</v>
      </c>
      <c r="P11" s="46">
        <f>IF(H11*2*J11=0,"",H11*2*J11)</f>
        <v>4.24</v>
      </c>
      <c r="Q11" s="15"/>
      <c r="S11" s="3"/>
    </row>
    <row r="12" spans="1:19" x14ac:dyDescent="0.25">
      <c r="A12" s="33" t="s">
        <v>23</v>
      </c>
      <c r="B12" s="32"/>
      <c r="C12" s="26"/>
      <c r="D12" s="27"/>
      <c r="E12" s="29"/>
      <c r="F12" s="28"/>
      <c r="G12" s="45"/>
      <c r="H12" s="45"/>
      <c r="I12" s="45"/>
      <c r="J12" s="53"/>
      <c r="K12" s="45"/>
      <c r="L12" s="45"/>
      <c r="M12" s="45"/>
      <c r="N12" s="46" t="str">
        <f t="shared" ref="N12:N25" si="0">IF(J12=0,"",J12)</f>
        <v/>
      </c>
      <c r="O12" s="46" t="str">
        <f t="shared" ref="O12:O25" si="1">IF(G12*J12=0,"",G12*J12)</f>
        <v/>
      </c>
      <c r="P12" s="46" t="str">
        <f t="shared" ref="P12:P25" si="2">IF(H12*2*J12=0,"",H12*2*J12)</f>
        <v/>
      </c>
      <c r="Q12" s="15"/>
      <c r="S12" s="3"/>
    </row>
    <row r="13" spans="1:19" x14ac:dyDescent="0.25">
      <c r="A13" s="25" t="s">
        <v>25</v>
      </c>
      <c r="B13" s="32" t="s">
        <v>594</v>
      </c>
      <c r="C13" s="26" t="s">
        <v>600</v>
      </c>
      <c r="D13" s="27" t="s">
        <v>589</v>
      </c>
      <c r="E13" s="29" t="s">
        <v>587</v>
      </c>
      <c r="F13" s="28"/>
      <c r="G13" s="45">
        <v>11.04</v>
      </c>
      <c r="H13" s="45">
        <v>1.2</v>
      </c>
      <c r="I13" s="45">
        <v>0.32</v>
      </c>
      <c r="J13" s="53">
        <v>1</v>
      </c>
      <c r="K13" s="45">
        <v>0.38500000000000001</v>
      </c>
      <c r="L13" s="45">
        <f t="shared" ref="L13:L17" si="3">G13*H13*K13</f>
        <v>5.1004800000000001</v>
      </c>
      <c r="M13" s="45">
        <f t="shared" ref="M13:M23" si="4">H13*K13</f>
        <v>0.46199999999999997</v>
      </c>
      <c r="N13" s="46">
        <f t="shared" si="0"/>
        <v>1</v>
      </c>
      <c r="O13" s="46">
        <f t="shared" si="1"/>
        <v>11.04</v>
      </c>
      <c r="P13" s="46">
        <f t="shared" si="2"/>
        <v>2.4</v>
      </c>
      <c r="Q13" s="15"/>
      <c r="S13" s="3"/>
    </row>
    <row r="14" spans="1:19" x14ac:dyDescent="0.25">
      <c r="A14" s="25" t="s">
        <v>25</v>
      </c>
      <c r="B14" s="32" t="s">
        <v>594</v>
      </c>
      <c r="C14" s="26" t="s">
        <v>600</v>
      </c>
      <c r="D14" s="27" t="s">
        <v>596</v>
      </c>
      <c r="E14" s="29" t="s">
        <v>587</v>
      </c>
      <c r="F14" s="28"/>
      <c r="G14" s="45">
        <v>11.04</v>
      </c>
      <c r="H14" s="45">
        <v>1.2</v>
      </c>
      <c r="I14" s="45">
        <v>0.32</v>
      </c>
      <c r="J14" s="53">
        <v>1</v>
      </c>
      <c r="K14" s="45">
        <v>0.38500000000000001</v>
      </c>
      <c r="L14" s="45">
        <f t="shared" si="3"/>
        <v>5.1004800000000001</v>
      </c>
      <c r="M14" s="45">
        <f t="shared" si="4"/>
        <v>0.46199999999999997</v>
      </c>
      <c r="N14" s="46">
        <f t="shared" si="0"/>
        <v>1</v>
      </c>
      <c r="O14" s="46">
        <f t="shared" si="1"/>
        <v>11.04</v>
      </c>
      <c r="P14" s="46">
        <f t="shared" si="2"/>
        <v>2.4</v>
      </c>
      <c r="Q14" s="15"/>
      <c r="S14" s="3"/>
    </row>
    <row r="15" spans="1:19" x14ac:dyDescent="0.25">
      <c r="A15" s="25" t="s">
        <v>25</v>
      </c>
      <c r="B15" s="32" t="s">
        <v>594</v>
      </c>
      <c r="C15" s="26" t="s">
        <v>600</v>
      </c>
      <c r="D15" s="27" t="s">
        <v>597</v>
      </c>
      <c r="E15" s="29" t="s">
        <v>587</v>
      </c>
      <c r="F15" s="28"/>
      <c r="G15" s="45">
        <v>11.04</v>
      </c>
      <c r="H15" s="45">
        <v>0.68</v>
      </c>
      <c r="I15" s="45">
        <v>0.32</v>
      </c>
      <c r="J15" s="53">
        <v>1</v>
      </c>
      <c r="K15" s="45">
        <v>0.38500000000000001</v>
      </c>
      <c r="L15" s="45">
        <f t="shared" si="3"/>
        <v>2.890272</v>
      </c>
      <c r="M15" s="45">
        <f t="shared" si="4"/>
        <v>0.26180000000000003</v>
      </c>
      <c r="N15" s="46">
        <f t="shared" si="0"/>
        <v>1</v>
      </c>
      <c r="O15" s="46">
        <f t="shared" si="1"/>
        <v>11.04</v>
      </c>
      <c r="P15" s="46">
        <f t="shared" si="2"/>
        <v>1.36</v>
      </c>
      <c r="Q15" s="15"/>
      <c r="S15" s="3"/>
    </row>
    <row r="16" spans="1:19" x14ac:dyDescent="0.25">
      <c r="A16" s="25" t="s">
        <v>25</v>
      </c>
      <c r="B16" s="32" t="s">
        <v>594</v>
      </c>
      <c r="C16" s="26" t="s">
        <v>600</v>
      </c>
      <c r="D16" s="27" t="s">
        <v>598</v>
      </c>
      <c r="E16" s="29" t="s">
        <v>587</v>
      </c>
      <c r="F16" s="28"/>
      <c r="G16" s="45">
        <v>11.04</v>
      </c>
      <c r="H16" s="45">
        <v>0.82</v>
      </c>
      <c r="I16" s="45">
        <v>0.32</v>
      </c>
      <c r="J16" s="53">
        <v>1</v>
      </c>
      <c r="K16" s="45">
        <v>0.38500000000000001</v>
      </c>
      <c r="L16" s="45">
        <f t="shared" si="3"/>
        <v>3.485328</v>
      </c>
      <c r="M16" s="45">
        <f t="shared" si="4"/>
        <v>0.31569999999999998</v>
      </c>
      <c r="N16" s="46">
        <f t="shared" si="0"/>
        <v>1</v>
      </c>
      <c r="O16" s="46">
        <f t="shared" si="1"/>
        <v>11.04</v>
      </c>
      <c r="P16" s="46">
        <f t="shared" si="2"/>
        <v>1.64</v>
      </c>
      <c r="Q16" s="15"/>
      <c r="S16" s="3"/>
    </row>
    <row r="17" spans="1:19" x14ac:dyDescent="0.25">
      <c r="A17" s="25" t="s">
        <v>25</v>
      </c>
      <c r="B17" s="32" t="s">
        <v>601</v>
      </c>
      <c r="C17" s="26" t="s">
        <v>602</v>
      </c>
      <c r="D17" s="27" t="s">
        <v>599</v>
      </c>
      <c r="E17" s="29" t="s">
        <v>587</v>
      </c>
      <c r="F17" s="28"/>
      <c r="G17" s="45">
        <v>8.64</v>
      </c>
      <c r="H17" s="45">
        <v>1.2</v>
      </c>
      <c r="I17" s="45">
        <v>0.32</v>
      </c>
      <c r="J17" s="53">
        <v>1</v>
      </c>
      <c r="K17" s="45">
        <v>0.38500000000000001</v>
      </c>
      <c r="L17" s="45">
        <f t="shared" si="3"/>
        <v>3.9916800000000001</v>
      </c>
      <c r="M17" s="45">
        <f t="shared" si="4"/>
        <v>0.46199999999999997</v>
      </c>
      <c r="N17" s="46">
        <f t="shared" si="0"/>
        <v>1</v>
      </c>
      <c r="O17" s="46">
        <f t="shared" si="1"/>
        <v>8.64</v>
      </c>
      <c r="P17" s="46">
        <f t="shared" si="2"/>
        <v>2.4</v>
      </c>
      <c r="Q17" s="15"/>
      <c r="S17" s="3"/>
    </row>
    <row r="18" spans="1:19" x14ac:dyDescent="0.25">
      <c r="A18" s="25" t="s">
        <v>25</v>
      </c>
      <c r="B18" s="32" t="s">
        <v>601</v>
      </c>
      <c r="C18" s="26" t="s">
        <v>602</v>
      </c>
      <c r="D18" s="27" t="s">
        <v>603</v>
      </c>
      <c r="E18" s="29" t="s">
        <v>587</v>
      </c>
      <c r="F18" s="28"/>
      <c r="G18" s="45">
        <v>8.64</v>
      </c>
      <c r="H18" s="45">
        <v>1.2</v>
      </c>
      <c r="I18" s="45">
        <v>0.32</v>
      </c>
      <c r="J18" s="53">
        <v>1</v>
      </c>
      <c r="K18" s="45">
        <v>0.38500000000000001</v>
      </c>
      <c r="L18" s="45">
        <f t="shared" ref="L18:L19" si="5">G18*H18*K18</f>
        <v>3.9916800000000001</v>
      </c>
      <c r="M18" s="45">
        <f t="shared" si="4"/>
        <v>0.46199999999999997</v>
      </c>
      <c r="N18" s="46">
        <f t="shared" si="0"/>
        <v>1</v>
      </c>
      <c r="O18" s="46">
        <f t="shared" si="1"/>
        <v>8.64</v>
      </c>
      <c r="P18" s="46">
        <f t="shared" si="2"/>
        <v>2.4</v>
      </c>
      <c r="Q18" s="15"/>
      <c r="S18" s="3"/>
    </row>
    <row r="19" spans="1:19" x14ac:dyDescent="0.25">
      <c r="A19" s="25" t="s">
        <v>25</v>
      </c>
      <c r="B19" s="32" t="s">
        <v>601</v>
      </c>
      <c r="C19" s="26" t="s">
        <v>602</v>
      </c>
      <c r="D19" s="27" t="s">
        <v>604</v>
      </c>
      <c r="E19" s="29" t="s">
        <v>587</v>
      </c>
      <c r="F19" s="28"/>
      <c r="G19" s="45">
        <v>8.64</v>
      </c>
      <c r="H19" s="45">
        <v>1.25</v>
      </c>
      <c r="I19" s="45">
        <v>0.32</v>
      </c>
      <c r="J19" s="53">
        <v>1</v>
      </c>
      <c r="K19" s="45">
        <v>0.38500000000000001</v>
      </c>
      <c r="L19" s="45">
        <f t="shared" si="5"/>
        <v>4.1580000000000004</v>
      </c>
      <c r="M19" s="45">
        <f t="shared" si="4"/>
        <v>0.48125000000000001</v>
      </c>
      <c r="N19" s="46">
        <f t="shared" si="0"/>
        <v>1</v>
      </c>
      <c r="O19" s="46">
        <f t="shared" si="1"/>
        <v>8.64</v>
      </c>
      <c r="P19" s="46">
        <f t="shared" si="2"/>
        <v>2.5</v>
      </c>
      <c r="Q19" s="15"/>
      <c r="S19" s="3"/>
    </row>
    <row r="20" spans="1:19" x14ac:dyDescent="0.25">
      <c r="A20" s="25" t="s">
        <v>25</v>
      </c>
      <c r="B20" s="32" t="s">
        <v>594</v>
      </c>
      <c r="C20" s="26" t="s">
        <v>595</v>
      </c>
      <c r="D20" s="27" t="s">
        <v>605</v>
      </c>
      <c r="E20" s="29" t="s">
        <v>587</v>
      </c>
      <c r="F20" s="28"/>
      <c r="G20" s="45">
        <v>9.39</v>
      </c>
      <c r="H20" s="45">
        <v>1.2</v>
      </c>
      <c r="I20" s="45">
        <v>0.32</v>
      </c>
      <c r="J20" s="53">
        <v>1</v>
      </c>
      <c r="K20" s="45">
        <v>0.38500000000000001</v>
      </c>
      <c r="L20" s="45">
        <f t="shared" ref="L20:L23" si="6">G20*H20*K20</f>
        <v>4.3381800000000004</v>
      </c>
      <c r="M20" s="45">
        <f t="shared" si="4"/>
        <v>0.46199999999999997</v>
      </c>
      <c r="N20" s="46">
        <f t="shared" si="0"/>
        <v>1</v>
      </c>
      <c r="O20" s="46">
        <f t="shared" si="1"/>
        <v>9.39</v>
      </c>
      <c r="P20" s="46">
        <f t="shared" si="2"/>
        <v>2.4</v>
      </c>
      <c r="Q20" s="15"/>
      <c r="S20" s="3"/>
    </row>
    <row r="21" spans="1:19" x14ac:dyDescent="0.25">
      <c r="A21" s="25" t="s">
        <v>25</v>
      </c>
      <c r="B21" s="32" t="s">
        <v>594</v>
      </c>
      <c r="C21" s="26" t="s">
        <v>595</v>
      </c>
      <c r="D21" s="27" t="s">
        <v>606</v>
      </c>
      <c r="E21" s="29" t="s">
        <v>587</v>
      </c>
      <c r="F21" s="28"/>
      <c r="G21" s="45">
        <v>9.39</v>
      </c>
      <c r="H21" s="45">
        <v>1.2</v>
      </c>
      <c r="I21" s="45">
        <v>0.32</v>
      </c>
      <c r="J21" s="53">
        <v>1</v>
      </c>
      <c r="K21" s="45">
        <v>0.38500000000000001</v>
      </c>
      <c r="L21" s="45">
        <f t="shared" si="6"/>
        <v>4.3381800000000004</v>
      </c>
      <c r="M21" s="45">
        <f t="shared" si="4"/>
        <v>0.46199999999999997</v>
      </c>
      <c r="N21" s="46">
        <f t="shared" si="0"/>
        <v>1</v>
      </c>
      <c r="O21" s="46">
        <f t="shared" si="1"/>
        <v>9.39</v>
      </c>
      <c r="P21" s="46">
        <f t="shared" si="2"/>
        <v>2.4</v>
      </c>
      <c r="Q21" s="15"/>
    </row>
    <row r="22" spans="1:19" x14ac:dyDescent="0.25">
      <c r="A22" s="25" t="s">
        <v>25</v>
      </c>
      <c r="B22" s="32" t="s">
        <v>594</v>
      </c>
      <c r="C22" s="26" t="s">
        <v>595</v>
      </c>
      <c r="D22" s="27" t="s">
        <v>607</v>
      </c>
      <c r="E22" s="29" t="s">
        <v>587</v>
      </c>
      <c r="F22" s="28"/>
      <c r="G22" s="45">
        <v>9.39</v>
      </c>
      <c r="H22" s="45">
        <v>0.68</v>
      </c>
      <c r="I22" s="45">
        <v>0.32</v>
      </c>
      <c r="J22" s="53">
        <v>1</v>
      </c>
      <c r="K22" s="45">
        <v>0.38500000000000001</v>
      </c>
      <c r="L22" s="45">
        <f t="shared" si="6"/>
        <v>2.4583020000000007</v>
      </c>
      <c r="M22" s="45">
        <f t="shared" si="4"/>
        <v>0.26180000000000003</v>
      </c>
      <c r="N22" s="46">
        <f t="shared" si="0"/>
        <v>1</v>
      </c>
      <c r="O22" s="46">
        <f t="shared" si="1"/>
        <v>9.39</v>
      </c>
      <c r="P22" s="46">
        <f t="shared" si="2"/>
        <v>1.36</v>
      </c>
      <c r="Q22" s="15"/>
    </row>
    <row r="23" spans="1:19" x14ac:dyDescent="0.25">
      <c r="A23" s="25" t="s">
        <v>25</v>
      </c>
      <c r="B23" s="32" t="s">
        <v>594</v>
      </c>
      <c r="C23" s="26" t="s">
        <v>595</v>
      </c>
      <c r="D23" s="27" t="s">
        <v>608</v>
      </c>
      <c r="E23" s="29" t="s">
        <v>587</v>
      </c>
      <c r="F23" s="28"/>
      <c r="G23" s="45">
        <v>9.39</v>
      </c>
      <c r="H23" s="45">
        <v>1.02</v>
      </c>
      <c r="I23" s="45">
        <v>0.32</v>
      </c>
      <c r="J23" s="53">
        <v>1</v>
      </c>
      <c r="K23" s="45">
        <v>0.38500000000000001</v>
      </c>
      <c r="L23" s="45">
        <f t="shared" si="6"/>
        <v>3.6874530000000001</v>
      </c>
      <c r="M23" s="45">
        <f t="shared" si="4"/>
        <v>0.39269999999999999</v>
      </c>
      <c r="N23" s="46">
        <f t="shared" si="0"/>
        <v>1</v>
      </c>
      <c r="O23" s="46">
        <f t="shared" si="1"/>
        <v>9.39</v>
      </c>
      <c r="P23" s="46">
        <f t="shared" si="2"/>
        <v>2.04</v>
      </c>
      <c r="Q23" s="15"/>
    </row>
    <row r="24" spans="1:19" x14ac:dyDescent="0.25">
      <c r="A24" s="25"/>
      <c r="B24" s="32"/>
      <c r="C24" s="26"/>
      <c r="D24" s="27"/>
      <c r="E24" s="29"/>
      <c r="F24" s="28"/>
      <c r="G24" s="45"/>
      <c r="H24" s="45"/>
      <c r="I24" s="45"/>
      <c r="J24" s="53"/>
      <c r="K24" s="45"/>
      <c r="L24" s="45"/>
      <c r="M24" s="45"/>
      <c r="N24" s="46" t="str">
        <f t="shared" si="0"/>
        <v/>
      </c>
      <c r="O24" s="46" t="str">
        <f t="shared" si="1"/>
        <v/>
      </c>
      <c r="P24" s="46" t="str">
        <f t="shared" si="2"/>
        <v/>
      </c>
      <c r="Q24" s="15"/>
    </row>
    <row r="25" spans="1:19" x14ac:dyDescent="0.25">
      <c r="A25" s="25"/>
      <c r="B25" s="32"/>
      <c r="C25" s="26"/>
      <c r="D25" s="27"/>
      <c r="E25" s="29"/>
      <c r="F25" s="28"/>
      <c r="G25" s="45"/>
      <c r="H25" s="45"/>
      <c r="I25" s="45"/>
      <c r="J25" s="53"/>
      <c r="K25" s="45"/>
      <c r="L25" s="45"/>
      <c r="M25" s="45"/>
      <c r="N25" s="46" t="str">
        <f t="shared" si="0"/>
        <v/>
      </c>
      <c r="O25" s="46" t="str">
        <f t="shared" si="1"/>
        <v/>
      </c>
      <c r="P25" s="46" t="str">
        <f t="shared" si="2"/>
        <v/>
      </c>
      <c r="Q25" s="15"/>
    </row>
    <row r="26" spans="1:19" x14ac:dyDescent="0.25">
      <c r="A26" s="5"/>
      <c r="B26" s="5"/>
      <c r="C26" s="5"/>
      <c r="D26" s="5"/>
      <c r="E26" s="11"/>
      <c r="F26" s="6" t="s">
        <v>6</v>
      </c>
      <c r="G26" s="7"/>
      <c r="H26" s="7"/>
      <c r="I26" s="7"/>
      <c r="J26" s="7"/>
      <c r="K26" s="18"/>
      <c r="L26" s="7"/>
      <c r="M26" s="7"/>
      <c r="N26" s="48">
        <f>SUBTOTAL(9,N10:N25)</f>
        <v>12</v>
      </c>
      <c r="O26" s="48">
        <f>SUBTOTAL(9,O10:O25)</f>
        <v>117.03</v>
      </c>
      <c r="P26" s="48">
        <f>SUBTOTAL(9,P10:P25)</f>
        <v>27.539999999999996</v>
      </c>
      <c r="Q26" s="48"/>
    </row>
    <row r="27" spans="1:19" x14ac:dyDescent="0.25">
      <c r="A27" s="20"/>
      <c r="B27" s="20"/>
      <c r="C27" s="20"/>
      <c r="D27" s="20"/>
      <c r="E27" s="20"/>
      <c r="F27" s="20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9" spans="1:19" x14ac:dyDescent="0.25">
      <c r="A29" t="s">
        <v>28</v>
      </c>
    </row>
    <row r="30" spans="1:19" x14ac:dyDescent="0.25">
      <c r="A30" t="s">
        <v>31</v>
      </c>
      <c r="N30" s="49"/>
      <c r="O30" s="49"/>
      <c r="P30" s="49"/>
    </row>
  </sheetData>
  <autoFilter ref="A2:P25" xr:uid="{4B446813-E5B4-45D2-BBEA-4E82C922A060}"/>
  <mergeCells count="23">
    <mergeCell ref="M5:M7"/>
    <mergeCell ref="E9:F9"/>
    <mergeCell ref="K5:K7"/>
    <mergeCell ref="P5:P7"/>
    <mergeCell ref="L5:L7"/>
    <mergeCell ref="O5:O7"/>
    <mergeCell ref="G6:G7"/>
    <mergeCell ref="H6:H7"/>
    <mergeCell ref="I6:I7"/>
    <mergeCell ref="J6:J7"/>
    <mergeCell ref="G4:M4"/>
    <mergeCell ref="B5:B8"/>
    <mergeCell ref="C5:C8"/>
    <mergeCell ref="N5:N7"/>
    <mergeCell ref="A3:D3"/>
    <mergeCell ref="E3:F3"/>
    <mergeCell ref="G3:M3"/>
    <mergeCell ref="N3:P4"/>
    <mergeCell ref="A4:A8"/>
    <mergeCell ref="B4:C4"/>
    <mergeCell ref="D4:D8"/>
    <mergeCell ref="E4:E8"/>
    <mergeCell ref="F4:F8"/>
  </mergeCells>
  <phoneticPr fontId="11" type="noConversion"/>
  <pageMargins left="0.25" right="0.25" top="0.75" bottom="0.75" header="0.3" footer="0.3"/>
  <pageSetup paperSize="9" scale="70" fitToHeight="0" orientation="landscape" r:id="rId1"/>
  <headerFooter>
    <oddHeader>&amp;A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04A15-C849-47EA-81E2-5AA601DEF579}">
  <sheetPr>
    <pageSetUpPr fitToPage="1"/>
  </sheetPr>
  <dimension ref="A1:M104"/>
  <sheetViews>
    <sheetView tabSelected="1" topLeftCell="A64" zoomScaleNormal="100" workbookViewId="0">
      <selection activeCell="E91" sqref="E91"/>
    </sheetView>
  </sheetViews>
  <sheetFormatPr defaultRowHeight="15" x14ac:dyDescent="0.25"/>
  <cols>
    <col min="1" max="1" width="2" customWidth="1"/>
    <col min="2" max="2" width="12.42578125" customWidth="1"/>
    <col min="3" max="3" width="6" customWidth="1"/>
    <col min="4" max="4" width="5.28515625" customWidth="1"/>
    <col min="5" max="6" width="6.28515625" customWidth="1"/>
    <col min="7" max="7" width="6" customWidth="1"/>
    <col min="8" max="8" width="6.140625" customWidth="1"/>
    <col min="9" max="9" width="32.85546875" customWidth="1"/>
    <col min="10" max="10" width="4.7109375" customWidth="1"/>
    <col min="11" max="11" width="0.140625" customWidth="1"/>
    <col min="12" max="12" width="7.5703125" customWidth="1"/>
    <col min="13" max="15" width="6.85546875" customWidth="1"/>
    <col min="16" max="16" width="5.140625" customWidth="1"/>
    <col min="17" max="20" width="5.5703125" customWidth="1"/>
    <col min="21" max="31" width="8.85546875" customWidth="1"/>
    <col min="32" max="32" width="8.5703125" customWidth="1"/>
    <col min="33" max="33" width="0.7109375" customWidth="1"/>
  </cols>
  <sheetData>
    <row r="1" spans="1:13" ht="18.75" x14ac:dyDescent="0.3">
      <c r="A1" s="1" t="s">
        <v>20</v>
      </c>
      <c r="B1" s="1"/>
      <c r="C1" s="1"/>
      <c r="D1" s="1"/>
    </row>
    <row r="2" spans="1:13" x14ac:dyDescent="0.25">
      <c r="A2" s="2"/>
      <c r="B2" s="2"/>
      <c r="C2" s="2"/>
      <c r="D2" s="2"/>
    </row>
    <row r="3" spans="1:13" x14ac:dyDescent="0.25">
      <c r="A3" s="2"/>
      <c r="B3" s="17" t="s">
        <v>29</v>
      </c>
    </row>
    <row r="4" spans="1:13" ht="15" customHeight="1" x14ac:dyDescent="0.25">
      <c r="A4" s="2"/>
      <c r="B4" s="112" t="s">
        <v>18</v>
      </c>
      <c r="C4" s="103" t="s">
        <v>19</v>
      </c>
      <c r="D4" s="104"/>
      <c r="E4" s="104"/>
      <c r="F4" s="104"/>
      <c r="G4" s="104"/>
      <c r="H4" s="104"/>
      <c r="I4" s="105"/>
      <c r="J4" s="103" t="s">
        <v>49</v>
      </c>
      <c r="K4" s="105"/>
      <c r="L4" s="103" t="s">
        <v>48</v>
      </c>
      <c r="M4" s="105"/>
    </row>
    <row r="5" spans="1:13" x14ac:dyDescent="0.25">
      <c r="A5" s="2"/>
      <c r="B5" s="113"/>
      <c r="C5" s="106"/>
      <c r="D5" s="107"/>
      <c r="E5" s="107"/>
      <c r="F5" s="107"/>
      <c r="G5" s="107"/>
      <c r="H5" s="107"/>
      <c r="I5" s="108"/>
      <c r="J5" s="106"/>
      <c r="K5" s="108"/>
      <c r="L5" s="106"/>
      <c r="M5" s="108"/>
    </row>
    <row r="6" spans="1:13" x14ac:dyDescent="0.25">
      <c r="A6" s="2"/>
      <c r="B6" s="114"/>
      <c r="C6" s="109"/>
      <c r="D6" s="110"/>
      <c r="E6" s="110"/>
      <c r="F6" s="110"/>
      <c r="G6" s="110"/>
      <c r="H6" s="110"/>
      <c r="I6" s="111"/>
      <c r="J6" s="101"/>
      <c r="K6" s="102"/>
      <c r="L6" s="101"/>
      <c r="M6" s="102"/>
    </row>
    <row r="7" spans="1:13" x14ac:dyDescent="0.25">
      <c r="B7" s="19" t="s">
        <v>44</v>
      </c>
      <c r="C7" s="96" t="s">
        <v>104</v>
      </c>
      <c r="D7" s="97"/>
      <c r="E7" s="97"/>
      <c r="F7" s="97"/>
      <c r="G7" s="97"/>
      <c r="H7" s="97"/>
      <c r="I7" s="98"/>
      <c r="J7" s="99" t="s">
        <v>58</v>
      </c>
      <c r="K7" s="100"/>
      <c r="L7" s="94">
        <v>358.33</v>
      </c>
      <c r="M7" s="95"/>
    </row>
    <row r="8" spans="1:13" ht="15" customHeight="1" x14ac:dyDescent="0.25">
      <c r="B8" s="19" t="s">
        <v>327</v>
      </c>
      <c r="C8" s="96" t="s">
        <v>328</v>
      </c>
      <c r="D8" s="97"/>
      <c r="E8" s="97"/>
      <c r="F8" s="97"/>
      <c r="G8" s="97"/>
      <c r="H8" s="97"/>
      <c r="I8" s="98"/>
      <c r="J8" s="99" t="s">
        <v>58</v>
      </c>
      <c r="K8" s="100"/>
      <c r="L8" s="94">
        <v>11.97</v>
      </c>
      <c r="M8" s="95"/>
    </row>
    <row r="9" spans="1:13" ht="15" customHeight="1" x14ac:dyDescent="0.25">
      <c r="B9" s="19" t="s">
        <v>330</v>
      </c>
      <c r="C9" s="96" t="s">
        <v>329</v>
      </c>
      <c r="D9" s="97"/>
      <c r="E9" s="97"/>
      <c r="F9" s="97"/>
      <c r="G9" s="97"/>
      <c r="H9" s="97"/>
      <c r="I9" s="98"/>
      <c r="J9" s="99" t="s">
        <v>58</v>
      </c>
      <c r="K9" s="100"/>
      <c r="L9" s="94">
        <v>4.5199999999999996</v>
      </c>
      <c r="M9" s="95"/>
    </row>
    <row r="10" spans="1:13" ht="15" customHeight="1" x14ac:dyDescent="0.25">
      <c r="B10" s="19" t="s">
        <v>136</v>
      </c>
      <c r="C10" s="96" t="s">
        <v>137</v>
      </c>
      <c r="D10" s="97"/>
      <c r="E10" s="97"/>
      <c r="F10" s="97"/>
      <c r="G10" s="97"/>
      <c r="H10" s="97"/>
      <c r="I10" s="98"/>
      <c r="J10" s="99" t="s">
        <v>58</v>
      </c>
      <c r="K10" s="100"/>
      <c r="L10" s="94">
        <v>32.28</v>
      </c>
      <c r="M10" s="95"/>
    </row>
    <row r="11" spans="1:13" ht="15" customHeight="1" x14ac:dyDescent="0.25">
      <c r="B11" s="19" t="s">
        <v>87</v>
      </c>
      <c r="C11" s="96" t="s">
        <v>88</v>
      </c>
      <c r="D11" s="97"/>
      <c r="E11" s="97"/>
      <c r="F11" s="97"/>
      <c r="G11" s="97"/>
      <c r="H11" s="97"/>
      <c r="I11" s="98"/>
      <c r="J11" s="99" t="s">
        <v>58</v>
      </c>
      <c r="K11" s="100"/>
      <c r="L11" s="94">
        <v>18.61</v>
      </c>
      <c r="M11" s="95"/>
    </row>
    <row r="12" spans="1:13" ht="15" customHeight="1" x14ac:dyDescent="0.25">
      <c r="B12" s="19" t="s">
        <v>355</v>
      </c>
      <c r="C12" s="96" t="s">
        <v>356</v>
      </c>
      <c r="D12" s="97"/>
      <c r="E12" s="97"/>
      <c r="F12" s="97"/>
      <c r="G12" s="97"/>
      <c r="H12" s="97"/>
      <c r="I12" s="98"/>
      <c r="J12" s="99" t="s">
        <v>58</v>
      </c>
      <c r="K12" s="100"/>
      <c r="L12" s="94">
        <v>11.09</v>
      </c>
      <c r="M12" s="95"/>
    </row>
    <row r="13" spans="1:13" ht="15" customHeight="1" x14ac:dyDescent="0.25">
      <c r="B13" s="19" t="s">
        <v>386</v>
      </c>
      <c r="C13" s="96" t="s">
        <v>479</v>
      </c>
      <c r="D13" s="97"/>
      <c r="E13" s="97"/>
      <c r="F13" s="97"/>
      <c r="G13" s="97"/>
      <c r="H13" s="97"/>
      <c r="I13" s="98"/>
      <c r="J13" s="99" t="s">
        <v>58</v>
      </c>
      <c r="K13" s="100"/>
      <c r="L13" s="94">
        <v>1.35</v>
      </c>
      <c r="M13" s="95"/>
    </row>
    <row r="14" spans="1:13" ht="15" customHeight="1" x14ac:dyDescent="0.25">
      <c r="B14" s="19" t="s">
        <v>578</v>
      </c>
      <c r="C14" s="96" t="s">
        <v>579</v>
      </c>
      <c r="D14" s="97"/>
      <c r="E14" s="97"/>
      <c r="F14" s="97"/>
      <c r="G14" s="97"/>
      <c r="H14" s="97"/>
      <c r="I14" s="98"/>
      <c r="J14" s="99" t="s">
        <v>58</v>
      </c>
      <c r="K14" s="100"/>
      <c r="L14" s="94">
        <v>0.57999999999999996</v>
      </c>
      <c r="M14" s="95"/>
    </row>
    <row r="15" spans="1:13" ht="15" customHeight="1" x14ac:dyDescent="0.25">
      <c r="B15" s="19" t="s">
        <v>582</v>
      </c>
      <c r="C15" s="96" t="s">
        <v>583</v>
      </c>
      <c r="D15" s="97"/>
      <c r="E15" s="97"/>
      <c r="F15" s="97"/>
      <c r="G15" s="97"/>
      <c r="H15" s="97"/>
      <c r="I15" s="98"/>
      <c r="J15" s="99" t="s">
        <v>58</v>
      </c>
      <c r="K15" s="100"/>
      <c r="L15" s="94">
        <v>1.1000000000000001</v>
      </c>
      <c r="M15" s="95"/>
    </row>
    <row r="16" spans="1:13" ht="15" customHeight="1" x14ac:dyDescent="0.25">
      <c r="B16" s="19" t="s">
        <v>310</v>
      </c>
      <c r="C16" s="96" t="s">
        <v>478</v>
      </c>
      <c r="D16" s="97"/>
      <c r="E16" s="97"/>
      <c r="F16" s="97"/>
      <c r="G16" s="97"/>
      <c r="H16" s="97"/>
      <c r="I16" s="98"/>
      <c r="J16" s="99" t="s">
        <v>58</v>
      </c>
      <c r="K16" s="100"/>
      <c r="L16" s="94">
        <v>63.11</v>
      </c>
      <c r="M16" s="95"/>
    </row>
    <row r="17" spans="2:13" ht="15" customHeight="1" x14ac:dyDescent="0.25">
      <c r="B17" s="19"/>
      <c r="C17" s="96" t="s">
        <v>463</v>
      </c>
      <c r="D17" s="97"/>
      <c r="E17" s="97"/>
      <c r="F17" s="97"/>
      <c r="G17" s="97"/>
      <c r="H17" s="97"/>
      <c r="I17" s="98"/>
      <c r="J17" s="99"/>
      <c r="K17" s="100"/>
      <c r="L17" s="94"/>
      <c r="M17" s="95"/>
    </row>
    <row r="18" spans="2:13" ht="15" customHeight="1" x14ac:dyDescent="0.25">
      <c r="B18" s="19"/>
      <c r="C18" s="47"/>
      <c r="D18" s="42" t="s">
        <v>361</v>
      </c>
      <c r="E18" s="42"/>
      <c r="F18" s="42"/>
      <c r="G18" s="42"/>
      <c r="H18" s="42"/>
      <c r="I18" s="50"/>
      <c r="J18" s="99"/>
      <c r="K18" s="100"/>
      <c r="L18" s="94"/>
      <c r="M18" s="95"/>
    </row>
    <row r="19" spans="2:13" ht="15" customHeight="1" x14ac:dyDescent="0.25">
      <c r="B19" s="19"/>
      <c r="C19" s="47"/>
      <c r="D19" s="42"/>
      <c r="E19" s="54" t="s">
        <v>448</v>
      </c>
      <c r="F19" s="42"/>
      <c r="G19" s="42"/>
      <c r="H19" s="42"/>
      <c r="I19" s="50"/>
      <c r="J19" s="99"/>
      <c r="K19" s="100"/>
      <c r="L19" s="94"/>
      <c r="M19" s="95"/>
    </row>
    <row r="20" spans="2:13" ht="15" customHeight="1" x14ac:dyDescent="0.25">
      <c r="B20" s="19"/>
      <c r="C20" s="47"/>
      <c r="D20" s="42"/>
      <c r="E20" s="42"/>
      <c r="F20" s="42" t="s">
        <v>449</v>
      </c>
      <c r="G20" s="42"/>
      <c r="H20" s="42"/>
      <c r="I20" s="50"/>
      <c r="J20" s="99"/>
      <c r="K20" s="100"/>
      <c r="L20" s="94"/>
      <c r="M20" s="95"/>
    </row>
    <row r="21" spans="2:13" ht="15" customHeight="1" x14ac:dyDescent="0.25">
      <c r="B21" s="19" t="s">
        <v>360</v>
      </c>
      <c r="C21" s="47"/>
      <c r="D21" s="42"/>
      <c r="E21" s="42"/>
      <c r="F21" s="42"/>
      <c r="G21" s="42" t="s">
        <v>450</v>
      </c>
      <c r="H21" s="42"/>
      <c r="I21" s="50"/>
      <c r="J21" s="99" t="s">
        <v>50</v>
      </c>
      <c r="K21" s="100"/>
      <c r="L21" s="94"/>
      <c r="M21" s="95"/>
    </row>
    <row r="22" spans="2:13" ht="15" customHeight="1" x14ac:dyDescent="0.25">
      <c r="B22" s="19" t="s">
        <v>455</v>
      </c>
      <c r="C22" s="47"/>
      <c r="D22" s="42"/>
      <c r="E22" s="42"/>
      <c r="F22" s="42"/>
      <c r="G22" s="42" t="s">
        <v>451</v>
      </c>
      <c r="H22" s="42"/>
      <c r="I22" s="50"/>
      <c r="J22" s="99" t="s">
        <v>50</v>
      </c>
      <c r="K22" s="100"/>
      <c r="L22" s="94"/>
      <c r="M22" s="95"/>
    </row>
    <row r="23" spans="2:13" ht="15" customHeight="1" x14ac:dyDescent="0.25">
      <c r="B23" s="19" t="s">
        <v>456</v>
      </c>
      <c r="C23" s="47"/>
      <c r="D23" s="42"/>
      <c r="E23" s="42"/>
      <c r="F23" s="42"/>
      <c r="G23" s="42" t="s">
        <v>452</v>
      </c>
      <c r="H23" s="42"/>
      <c r="I23" s="50"/>
      <c r="J23" s="99" t="s">
        <v>50</v>
      </c>
      <c r="K23" s="100"/>
      <c r="L23" s="94">
        <v>73.78</v>
      </c>
      <c r="M23" s="95"/>
    </row>
    <row r="24" spans="2:13" ht="15" customHeight="1" x14ac:dyDescent="0.25">
      <c r="B24" s="19" t="s">
        <v>457</v>
      </c>
      <c r="C24" s="47"/>
      <c r="D24" s="42"/>
      <c r="E24" s="42"/>
      <c r="F24" s="42"/>
      <c r="G24" s="42" t="s">
        <v>453</v>
      </c>
      <c r="H24" s="42"/>
      <c r="I24" s="50"/>
      <c r="J24" s="99" t="s">
        <v>50</v>
      </c>
      <c r="K24" s="100"/>
      <c r="L24" s="94">
        <v>188.47</v>
      </c>
      <c r="M24" s="95"/>
    </row>
    <row r="25" spans="2:13" ht="15" customHeight="1" x14ac:dyDescent="0.25">
      <c r="B25" s="19"/>
      <c r="C25" s="47"/>
      <c r="D25" s="42"/>
      <c r="E25" s="42"/>
      <c r="F25" s="42" t="s">
        <v>454</v>
      </c>
      <c r="G25" s="42"/>
      <c r="H25" s="42"/>
      <c r="I25" s="50"/>
      <c r="J25" s="43"/>
      <c r="K25" s="44"/>
      <c r="L25" s="94"/>
      <c r="M25" s="95"/>
    </row>
    <row r="26" spans="2:13" ht="15" customHeight="1" x14ac:dyDescent="0.25">
      <c r="B26" s="19" t="s">
        <v>458</v>
      </c>
      <c r="C26" s="47"/>
      <c r="D26" s="42"/>
      <c r="E26" s="42"/>
      <c r="F26" s="42"/>
      <c r="G26" s="42" t="s">
        <v>450</v>
      </c>
      <c r="H26" s="42"/>
      <c r="I26" s="50"/>
      <c r="J26" s="99" t="s">
        <v>50</v>
      </c>
      <c r="K26" s="100"/>
      <c r="L26" s="94"/>
      <c r="M26" s="95"/>
    </row>
    <row r="27" spans="2:13" ht="15" customHeight="1" x14ac:dyDescent="0.25">
      <c r="B27" s="19" t="s">
        <v>459</v>
      </c>
      <c r="C27" s="47"/>
      <c r="D27" s="42"/>
      <c r="E27" s="42"/>
      <c r="F27" s="42"/>
      <c r="G27" s="42" t="s">
        <v>451</v>
      </c>
      <c r="H27" s="42"/>
      <c r="I27" s="50"/>
      <c r="J27" s="99" t="s">
        <v>50</v>
      </c>
      <c r="K27" s="100"/>
      <c r="L27" s="94">
        <v>1.19</v>
      </c>
      <c r="M27" s="95"/>
    </row>
    <row r="28" spans="2:13" ht="15" customHeight="1" x14ac:dyDescent="0.25">
      <c r="B28" s="19" t="s">
        <v>460</v>
      </c>
      <c r="C28" s="47"/>
      <c r="D28" s="42"/>
      <c r="E28" s="42"/>
      <c r="F28" s="42"/>
      <c r="G28" s="42" t="s">
        <v>452</v>
      </c>
      <c r="H28" s="42"/>
      <c r="I28" s="50"/>
      <c r="J28" s="99" t="s">
        <v>50</v>
      </c>
      <c r="K28" s="100"/>
      <c r="L28" s="94">
        <v>201.23</v>
      </c>
      <c r="M28" s="95"/>
    </row>
    <row r="29" spans="2:13" ht="15" customHeight="1" x14ac:dyDescent="0.25">
      <c r="B29" s="19" t="s">
        <v>461</v>
      </c>
      <c r="C29" s="47"/>
      <c r="D29" s="42"/>
      <c r="E29" s="42"/>
      <c r="F29" s="42"/>
      <c r="G29" s="42" t="s">
        <v>453</v>
      </c>
      <c r="H29" s="42"/>
      <c r="I29" s="50"/>
      <c r="J29" s="99" t="s">
        <v>50</v>
      </c>
      <c r="K29" s="100"/>
      <c r="L29" s="94">
        <v>582.45000000000005</v>
      </c>
      <c r="M29" s="95"/>
    </row>
    <row r="30" spans="2:13" ht="15" customHeight="1" x14ac:dyDescent="0.25">
      <c r="B30" s="19"/>
      <c r="C30" s="96" t="s">
        <v>462</v>
      </c>
      <c r="D30" s="97"/>
      <c r="E30" s="97"/>
      <c r="F30" s="97"/>
      <c r="G30" s="97"/>
      <c r="H30" s="97"/>
      <c r="I30" s="98"/>
      <c r="J30" s="43"/>
      <c r="K30" s="44"/>
      <c r="L30" s="94"/>
      <c r="M30" s="95"/>
    </row>
    <row r="31" spans="2:13" ht="15" customHeight="1" x14ac:dyDescent="0.25">
      <c r="B31" s="19"/>
      <c r="C31" s="47"/>
      <c r="D31" s="42" t="s">
        <v>560</v>
      </c>
      <c r="E31" s="42"/>
      <c r="F31" s="42"/>
      <c r="G31" s="42"/>
      <c r="H31" s="42"/>
      <c r="I31" s="50"/>
      <c r="J31" s="43"/>
      <c r="K31" s="44"/>
      <c r="L31" s="94"/>
      <c r="M31" s="95"/>
    </row>
    <row r="32" spans="2:13" ht="15" customHeight="1" x14ac:dyDescent="0.25">
      <c r="B32" s="19"/>
      <c r="C32" s="47"/>
      <c r="D32" s="42"/>
      <c r="E32" s="54" t="s">
        <v>448</v>
      </c>
      <c r="F32" s="42"/>
      <c r="G32" s="42"/>
      <c r="H32" s="42"/>
      <c r="I32" s="50"/>
      <c r="J32" s="43"/>
      <c r="K32" s="44"/>
      <c r="L32" s="94"/>
      <c r="M32" s="95"/>
    </row>
    <row r="33" spans="2:13" ht="15" customHeight="1" x14ac:dyDescent="0.25">
      <c r="B33" s="19"/>
      <c r="C33" s="47"/>
      <c r="D33" s="42"/>
      <c r="E33" s="42"/>
      <c r="F33" s="42" t="s">
        <v>464</v>
      </c>
      <c r="G33" s="42"/>
      <c r="H33" s="42"/>
      <c r="I33" s="50"/>
      <c r="J33" s="43"/>
      <c r="K33" s="44"/>
      <c r="L33" s="94"/>
      <c r="M33" s="95"/>
    </row>
    <row r="34" spans="2:13" ht="15" customHeight="1" x14ac:dyDescent="0.25">
      <c r="B34" s="19" t="s">
        <v>465</v>
      </c>
      <c r="C34" s="47"/>
      <c r="D34" s="42"/>
      <c r="E34" s="42"/>
      <c r="F34" s="42"/>
      <c r="G34" s="42" t="s">
        <v>450</v>
      </c>
      <c r="H34" s="42"/>
      <c r="I34" s="50"/>
      <c r="J34" s="99" t="s">
        <v>50</v>
      </c>
      <c r="K34" s="100"/>
      <c r="L34" s="94"/>
      <c r="M34" s="95"/>
    </row>
    <row r="35" spans="2:13" ht="15" customHeight="1" x14ac:dyDescent="0.25">
      <c r="B35" s="19" t="s">
        <v>466</v>
      </c>
      <c r="C35" s="47"/>
      <c r="D35" s="42"/>
      <c r="E35" s="42"/>
      <c r="F35" s="42"/>
      <c r="G35" s="42" t="s">
        <v>451</v>
      </c>
      <c r="H35" s="42"/>
      <c r="I35" s="50"/>
      <c r="J35" s="99" t="s">
        <v>50</v>
      </c>
      <c r="K35" s="100"/>
      <c r="L35" s="94">
        <v>7.46</v>
      </c>
      <c r="M35" s="95"/>
    </row>
    <row r="36" spans="2:13" ht="15" customHeight="1" x14ac:dyDescent="0.25">
      <c r="B36" s="19" t="s">
        <v>467</v>
      </c>
      <c r="C36" s="47"/>
      <c r="D36" s="42"/>
      <c r="E36" s="42"/>
      <c r="F36" s="42"/>
      <c r="G36" s="42" t="s">
        <v>452</v>
      </c>
      <c r="H36" s="42"/>
      <c r="I36" s="50"/>
      <c r="J36" s="99" t="s">
        <v>50</v>
      </c>
      <c r="K36" s="100"/>
      <c r="L36" s="94">
        <v>53.76</v>
      </c>
      <c r="M36" s="95"/>
    </row>
    <row r="37" spans="2:13" ht="15" customHeight="1" x14ac:dyDescent="0.25">
      <c r="B37" s="19" t="s">
        <v>468</v>
      </c>
      <c r="C37" s="47"/>
      <c r="D37" s="42"/>
      <c r="E37" s="42"/>
      <c r="F37" s="42"/>
      <c r="G37" s="42" t="s">
        <v>453</v>
      </c>
      <c r="H37" s="42"/>
      <c r="I37" s="50"/>
      <c r="J37" s="99" t="s">
        <v>50</v>
      </c>
      <c r="K37" s="100"/>
      <c r="L37" s="94">
        <v>8.49</v>
      </c>
      <c r="M37" s="95"/>
    </row>
    <row r="38" spans="2:13" ht="15" customHeight="1" x14ac:dyDescent="0.25">
      <c r="B38" s="19" t="s">
        <v>469</v>
      </c>
      <c r="C38" s="47"/>
      <c r="D38" s="42"/>
      <c r="E38" s="42"/>
      <c r="F38" s="42"/>
      <c r="G38" s="42" t="s">
        <v>475</v>
      </c>
      <c r="H38" s="42"/>
      <c r="I38" s="50"/>
      <c r="J38" s="99" t="s">
        <v>50</v>
      </c>
      <c r="K38" s="100"/>
      <c r="L38" s="94"/>
      <c r="M38" s="95"/>
    </row>
    <row r="39" spans="2:13" ht="15" customHeight="1" x14ac:dyDescent="0.25">
      <c r="B39" s="19"/>
      <c r="C39" s="47"/>
      <c r="D39" s="42"/>
      <c r="E39" s="42"/>
      <c r="F39" s="42" t="s">
        <v>476</v>
      </c>
      <c r="G39" s="42"/>
      <c r="H39" s="42"/>
      <c r="I39" s="50"/>
      <c r="J39" s="99"/>
      <c r="K39" s="100"/>
      <c r="L39" s="94"/>
      <c r="M39" s="95"/>
    </row>
    <row r="40" spans="2:13" ht="15" customHeight="1" x14ac:dyDescent="0.25">
      <c r="B40" s="19" t="s">
        <v>470</v>
      </c>
      <c r="C40" s="47"/>
      <c r="D40" s="42"/>
      <c r="E40" s="42"/>
      <c r="F40" s="42"/>
      <c r="G40" s="42" t="s">
        <v>450</v>
      </c>
      <c r="H40" s="42"/>
      <c r="I40" s="50"/>
      <c r="J40" s="99" t="s">
        <v>50</v>
      </c>
      <c r="K40" s="100"/>
      <c r="L40" s="94"/>
      <c r="M40" s="95"/>
    </row>
    <row r="41" spans="2:13" ht="15" customHeight="1" x14ac:dyDescent="0.25">
      <c r="B41" s="19" t="s">
        <v>471</v>
      </c>
      <c r="C41" s="47"/>
      <c r="D41" s="42"/>
      <c r="E41" s="42"/>
      <c r="F41" s="42"/>
      <c r="G41" s="42" t="s">
        <v>451</v>
      </c>
      <c r="H41" s="42"/>
      <c r="I41" s="50"/>
      <c r="J41" s="99" t="s">
        <v>50</v>
      </c>
      <c r="K41" s="100"/>
      <c r="L41" s="94">
        <v>10.39</v>
      </c>
      <c r="M41" s="95"/>
    </row>
    <row r="42" spans="2:13" ht="15" customHeight="1" x14ac:dyDescent="0.25">
      <c r="B42" s="19" t="s">
        <v>472</v>
      </c>
      <c r="C42" s="47"/>
      <c r="D42" s="42"/>
      <c r="E42" s="42"/>
      <c r="F42" s="42"/>
      <c r="G42" s="42" t="s">
        <v>452</v>
      </c>
      <c r="H42" s="42"/>
      <c r="I42" s="50"/>
      <c r="J42" s="99" t="s">
        <v>50</v>
      </c>
      <c r="K42" s="100"/>
      <c r="L42" s="94">
        <v>10.49</v>
      </c>
      <c r="M42" s="95"/>
    </row>
    <row r="43" spans="2:13" ht="15" customHeight="1" x14ac:dyDescent="0.25">
      <c r="B43" s="19" t="s">
        <v>473</v>
      </c>
      <c r="C43" s="47"/>
      <c r="D43" s="42"/>
      <c r="E43" s="42"/>
      <c r="F43" s="42"/>
      <c r="G43" s="42" t="s">
        <v>453</v>
      </c>
      <c r="H43" s="42"/>
      <c r="I43" s="50"/>
      <c r="J43" s="99" t="s">
        <v>50</v>
      </c>
      <c r="K43" s="100"/>
      <c r="L43" s="94">
        <v>21.71</v>
      </c>
      <c r="M43" s="95"/>
    </row>
    <row r="44" spans="2:13" ht="15" customHeight="1" x14ac:dyDescent="0.25">
      <c r="B44" s="19" t="s">
        <v>474</v>
      </c>
      <c r="C44" s="47"/>
      <c r="D44" s="42"/>
      <c r="E44" s="42"/>
      <c r="F44" s="42"/>
      <c r="G44" s="42" t="s">
        <v>475</v>
      </c>
      <c r="H44" s="42"/>
      <c r="I44" s="50"/>
      <c r="J44" s="99" t="s">
        <v>50</v>
      </c>
      <c r="K44" s="100"/>
      <c r="L44" s="94"/>
      <c r="M44" s="95"/>
    </row>
    <row r="45" spans="2:13" ht="15" customHeight="1" x14ac:dyDescent="0.25">
      <c r="B45" s="19"/>
      <c r="C45" s="47"/>
      <c r="D45" s="42" t="s">
        <v>561</v>
      </c>
      <c r="E45" s="42"/>
      <c r="F45" s="42"/>
      <c r="G45" s="42"/>
      <c r="H45" s="42"/>
      <c r="I45" s="50"/>
      <c r="J45" s="43"/>
      <c r="K45" s="44"/>
      <c r="L45" s="94"/>
      <c r="M45" s="95"/>
    </row>
    <row r="46" spans="2:13" ht="15" customHeight="1" x14ac:dyDescent="0.25">
      <c r="B46" s="19"/>
      <c r="C46" s="47"/>
      <c r="D46" s="42"/>
      <c r="E46" s="54" t="s">
        <v>562</v>
      </c>
      <c r="F46" s="42"/>
      <c r="G46" s="42"/>
      <c r="H46" s="42"/>
      <c r="I46" s="50"/>
      <c r="J46" s="43"/>
      <c r="K46" s="44"/>
      <c r="L46" s="94"/>
      <c r="M46" s="95"/>
    </row>
    <row r="47" spans="2:13" ht="15" customHeight="1" x14ac:dyDescent="0.25">
      <c r="B47" s="19"/>
      <c r="C47" s="47"/>
      <c r="D47" s="42"/>
      <c r="E47" s="42"/>
      <c r="F47" s="42" t="s">
        <v>464</v>
      </c>
      <c r="G47" s="42"/>
      <c r="H47" s="42"/>
      <c r="I47" s="50"/>
      <c r="J47" s="43"/>
      <c r="K47" s="44"/>
      <c r="L47" s="94"/>
      <c r="M47" s="95"/>
    </row>
    <row r="48" spans="2:13" ht="15" customHeight="1" x14ac:dyDescent="0.25">
      <c r="B48" s="19" t="s">
        <v>563</v>
      </c>
      <c r="C48" s="47"/>
      <c r="D48" s="42"/>
      <c r="E48" s="42"/>
      <c r="F48" s="42"/>
      <c r="G48" s="42" t="s">
        <v>450</v>
      </c>
      <c r="H48" s="42"/>
      <c r="I48" s="50"/>
      <c r="J48" s="99" t="s">
        <v>50</v>
      </c>
      <c r="K48" s="100"/>
      <c r="L48" s="94"/>
      <c r="M48" s="95"/>
    </row>
    <row r="49" spans="2:13" ht="15" customHeight="1" x14ac:dyDescent="0.25">
      <c r="B49" s="19" t="s">
        <v>564</v>
      </c>
      <c r="C49" s="47"/>
      <c r="D49" s="42"/>
      <c r="E49" s="42"/>
      <c r="F49" s="42"/>
      <c r="G49" s="42" t="s">
        <v>451</v>
      </c>
      <c r="H49" s="42"/>
      <c r="I49" s="50"/>
      <c r="J49" s="99" t="s">
        <v>50</v>
      </c>
      <c r="K49" s="100"/>
      <c r="L49" s="94">
        <v>10.039999999999999</v>
      </c>
      <c r="M49" s="95"/>
    </row>
    <row r="50" spans="2:13" ht="15" customHeight="1" x14ac:dyDescent="0.25">
      <c r="B50" s="19" t="s">
        <v>565</v>
      </c>
      <c r="C50" s="47"/>
      <c r="D50" s="42"/>
      <c r="E50" s="42"/>
      <c r="F50" s="42"/>
      <c r="G50" s="42" t="s">
        <v>452</v>
      </c>
      <c r="H50" s="42"/>
      <c r="I50" s="50"/>
      <c r="J50" s="99" t="s">
        <v>50</v>
      </c>
      <c r="K50" s="100"/>
      <c r="L50" s="94">
        <v>73.2</v>
      </c>
      <c r="M50" s="95"/>
    </row>
    <row r="51" spans="2:13" ht="15" customHeight="1" x14ac:dyDescent="0.25">
      <c r="B51" s="19" t="s">
        <v>566</v>
      </c>
      <c r="C51" s="47"/>
      <c r="D51" s="42"/>
      <c r="E51" s="42"/>
      <c r="F51" s="42"/>
      <c r="G51" s="42" t="s">
        <v>453</v>
      </c>
      <c r="H51" s="42"/>
      <c r="I51" s="50"/>
      <c r="J51" s="99" t="s">
        <v>50</v>
      </c>
      <c r="K51" s="100"/>
      <c r="L51" s="94">
        <v>941.09</v>
      </c>
      <c r="M51" s="95"/>
    </row>
    <row r="52" spans="2:13" ht="15" customHeight="1" x14ac:dyDescent="0.25">
      <c r="B52" s="19" t="s">
        <v>567</v>
      </c>
      <c r="C52" s="47"/>
      <c r="D52" s="42"/>
      <c r="E52" s="42"/>
      <c r="F52" s="42"/>
      <c r="G52" s="42" t="s">
        <v>573</v>
      </c>
      <c r="H52" s="42"/>
      <c r="I52" s="50"/>
      <c r="J52" s="99" t="s">
        <v>50</v>
      </c>
      <c r="K52" s="100"/>
      <c r="L52" s="94">
        <v>56.17</v>
      </c>
      <c r="M52" s="95"/>
    </row>
    <row r="53" spans="2:13" ht="15" customHeight="1" x14ac:dyDescent="0.25">
      <c r="B53" s="19"/>
      <c r="C53" s="47"/>
      <c r="D53" s="42"/>
      <c r="E53" s="42"/>
      <c r="F53" s="42" t="s">
        <v>476</v>
      </c>
      <c r="G53" s="42"/>
      <c r="H53" s="42"/>
      <c r="I53" s="50"/>
      <c r="J53" s="99"/>
      <c r="K53" s="100"/>
      <c r="L53" s="94"/>
      <c r="M53" s="95"/>
    </row>
    <row r="54" spans="2:13" ht="15" customHeight="1" x14ac:dyDescent="0.25">
      <c r="B54" s="19" t="s">
        <v>568</v>
      </c>
      <c r="C54" s="47"/>
      <c r="D54" s="42"/>
      <c r="E54" s="42"/>
      <c r="F54" s="42"/>
      <c r="G54" s="42" t="s">
        <v>450</v>
      </c>
      <c r="H54" s="42"/>
      <c r="I54" s="50"/>
      <c r="J54" s="99" t="s">
        <v>50</v>
      </c>
      <c r="K54" s="100"/>
      <c r="L54" s="94"/>
      <c r="M54" s="95"/>
    </row>
    <row r="55" spans="2:13" ht="15" customHeight="1" x14ac:dyDescent="0.25">
      <c r="B55" s="19" t="s">
        <v>569</v>
      </c>
      <c r="C55" s="47"/>
      <c r="D55" s="42"/>
      <c r="E55" s="42"/>
      <c r="F55" s="42"/>
      <c r="G55" s="42" t="s">
        <v>451</v>
      </c>
      <c r="H55" s="42"/>
      <c r="I55" s="50"/>
      <c r="J55" s="99" t="s">
        <v>50</v>
      </c>
      <c r="K55" s="100"/>
      <c r="L55" s="94">
        <v>84.38</v>
      </c>
      <c r="M55" s="95"/>
    </row>
    <row r="56" spans="2:13" ht="15" customHeight="1" x14ac:dyDescent="0.25">
      <c r="B56" s="19" t="s">
        <v>570</v>
      </c>
      <c r="C56" s="47"/>
      <c r="D56" s="42"/>
      <c r="E56" s="42"/>
      <c r="F56" s="42"/>
      <c r="G56" s="42" t="s">
        <v>452</v>
      </c>
      <c r="H56" s="42"/>
      <c r="I56" s="50"/>
      <c r="J56" s="99" t="s">
        <v>50</v>
      </c>
      <c r="K56" s="100"/>
      <c r="L56" s="94">
        <v>479.59</v>
      </c>
      <c r="M56" s="95"/>
    </row>
    <row r="57" spans="2:13" ht="15" customHeight="1" x14ac:dyDescent="0.25">
      <c r="B57" s="19" t="s">
        <v>571</v>
      </c>
      <c r="C57" s="47"/>
      <c r="D57" s="42"/>
      <c r="E57" s="42"/>
      <c r="F57" s="42"/>
      <c r="G57" s="42" t="s">
        <v>453</v>
      </c>
      <c r="H57" s="42"/>
      <c r="I57" s="50"/>
      <c r="J57" s="99" t="s">
        <v>50</v>
      </c>
      <c r="K57" s="100"/>
      <c r="L57" s="94">
        <v>61.32</v>
      </c>
      <c r="M57" s="95"/>
    </row>
    <row r="58" spans="2:13" ht="15" customHeight="1" x14ac:dyDescent="0.25">
      <c r="B58" s="19" t="s">
        <v>572</v>
      </c>
      <c r="C58" s="47"/>
      <c r="D58" s="42"/>
      <c r="E58" s="42"/>
      <c r="F58" s="42"/>
      <c r="G58" s="42" t="s">
        <v>573</v>
      </c>
      <c r="H58" s="42"/>
      <c r="I58" s="50"/>
      <c r="J58" s="99" t="s">
        <v>50</v>
      </c>
      <c r="K58" s="100"/>
      <c r="L58" s="94">
        <v>80.91</v>
      </c>
      <c r="M58" s="95"/>
    </row>
    <row r="59" spans="2:13" x14ac:dyDescent="0.25">
      <c r="B59" s="19" t="s">
        <v>574</v>
      </c>
      <c r="C59" s="96" t="s">
        <v>575</v>
      </c>
      <c r="D59" s="97"/>
      <c r="E59" s="97"/>
      <c r="F59" s="97"/>
      <c r="G59" s="97"/>
      <c r="H59" s="97"/>
      <c r="I59" s="98"/>
      <c r="J59" s="99" t="s">
        <v>58</v>
      </c>
      <c r="K59" s="100"/>
      <c r="L59" s="94">
        <v>678.56</v>
      </c>
      <c r="M59" s="95"/>
    </row>
    <row r="60" spans="2:13" ht="15" customHeight="1" x14ac:dyDescent="0.25">
      <c r="B60" s="19"/>
      <c r="C60" s="96" t="s">
        <v>45</v>
      </c>
      <c r="D60" s="97"/>
      <c r="E60" s="97"/>
      <c r="F60" s="97"/>
      <c r="G60" s="97"/>
      <c r="H60" s="97"/>
      <c r="I60" s="98"/>
      <c r="J60" s="99" t="s">
        <v>50</v>
      </c>
      <c r="K60" s="100"/>
      <c r="L60" s="94"/>
      <c r="M60" s="95"/>
    </row>
    <row r="61" spans="2:13" ht="15" customHeight="1" x14ac:dyDescent="0.25">
      <c r="B61" s="19" t="s">
        <v>334</v>
      </c>
      <c r="C61" s="39"/>
      <c r="D61" s="42" t="s">
        <v>46</v>
      </c>
      <c r="E61" s="40"/>
      <c r="F61" s="40"/>
      <c r="G61" s="40"/>
      <c r="H61" s="40"/>
      <c r="I61" s="41"/>
      <c r="J61" s="99" t="s">
        <v>50</v>
      </c>
      <c r="K61" s="100"/>
      <c r="L61" s="94">
        <f>(1571.71+111.9)+(49.36+2.44)+(6.73+1.81)</f>
        <v>1743.95</v>
      </c>
      <c r="M61" s="95"/>
    </row>
    <row r="62" spans="2:13" ht="15" customHeight="1" x14ac:dyDescent="0.25">
      <c r="B62" s="19" t="s">
        <v>335</v>
      </c>
      <c r="C62" s="39"/>
      <c r="D62" s="42" t="s">
        <v>47</v>
      </c>
      <c r="E62" s="40"/>
      <c r="F62" s="40"/>
      <c r="G62" s="40"/>
      <c r="H62" s="40"/>
      <c r="I62" s="41"/>
      <c r="J62" s="99" t="s">
        <v>50</v>
      </c>
      <c r="K62" s="100"/>
      <c r="L62" s="94"/>
      <c r="M62" s="95"/>
    </row>
    <row r="63" spans="2:13" ht="15" customHeight="1" x14ac:dyDescent="0.25">
      <c r="B63" s="19" t="s">
        <v>337</v>
      </c>
      <c r="C63" s="39"/>
      <c r="D63" s="42" t="s">
        <v>333</v>
      </c>
      <c r="E63" s="40"/>
      <c r="F63" s="40"/>
      <c r="G63" s="40"/>
      <c r="H63" s="40"/>
      <c r="I63" s="41"/>
      <c r="J63" s="99" t="s">
        <v>50</v>
      </c>
      <c r="K63" s="100"/>
      <c r="L63" s="94">
        <f>(49.36+2.44)</f>
        <v>51.8</v>
      </c>
      <c r="M63" s="95"/>
    </row>
    <row r="64" spans="2:13" ht="15" customHeight="1" x14ac:dyDescent="0.25">
      <c r="B64" s="19"/>
      <c r="C64" s="96" t="s">
        <v>51</v>
      </c>
      <c r="D64" s="97"/>
      <c r="E64" s="97"/>
      <c r="F64" s="97"/>
      <c r="G64" s="97"/>
      <c r="H64" s="97"/>
      <c r="I64" s="98"/>
      <c r="J64" s="99"/>
      <c r="K64" s="100"/>
      <c r="L64" s="94"/>
      <c r="M64" s="95"/>
    </row>
    <row r="65" spans="2:13" x14ac:dyDescent="0.25">
      <c r="B65" s="30"/>
      <c r="C65" s="39"/>
      <c r="D65" s="42" t="s">
        <v>52</v>
      </c>
      <c r="E65" s="40"/>
      <c r="F65" s="40"/>
      <c r="G65" s="40"/>
      <c r="H65" s="40"/>
      <c r="I65" s="41"/>
      <c r="J65" s="99"/>
      <c r="K65" s="100"/>
      <c r="L65" s="94"/>
      <c r="M65" s="95"/>
    </row>
    <row r="66" spans="2:13" x14ac:dyDescent="0.25">
      <c r="B66" s="30" t="s">
        <v>336</v>
      </c>
      <c r="C66" s="39"/>
      <c r="D66" s="42"/>
      <c r="E66" s="42" t="s">
        <v>53</v>
      </c>
      <c r="F66" s="40"/>
      <c r="G66" s="40"/>
      <c r="H66" s="40"/>
      <c r="I66" s="41"/>
      <c r="J66" s="99" t="s">
        <v>50</v>
      </c>
      <c r="K66" s="100"/>
      <c r="L66" s="94">
        <f>49.36</f>
        <v>49.36</v>
      </c>
      <c r="M66" s="95"/>
    </row>
    <row r="67" spans="2:13" x14ac:dyDescent="0.25">
      <c r="B67" s="30" t="s">
        <v>339</v>
      </c>
      <c r="C67" s="39"/>
      <c r="D67" s="42"/>
      <c r="E67" s="42" t="s">
        <v>54</v>
      </c>
      <c r="F67" s="40"/>
      <c r="G67" s="40"/>
      <c r="H67" s="40"/>
      <c r="I67" s="41"/>
      <c r="J67" s="99" t="s">
        <v>50</v>
      </c>
      <c r="K67" s="100"/>
      <c r="L67" s="94">
        <f>1561.17+6.73</f>
        <v>1567.9</v>
      </c>
      <c r="M67" s="95"/>
    </row>
    <row r="68" spans="2:13" x14ac:dyDescent="0.25">
      <c r="B68" s="30" t="s">
        <v>340</v>
      </c>
      <c r="C68" s="39"/>
      <c r="D68" s="42"/>
      <c r="E68" s="42" t="s">
        <v>55</v>
      </c>
      <c r="F68" s="40"/>
      <c r="G68" s="40"/>
      <c r="H68" s="40"/>
      <c r="I68" s="41"/>
      <c r="J68" s="99" t="s">
        <v>50</v>
      </c>
      <c r="K68" s="100"/>
      <c r="L68" s="94"/>
      <c r="M68" s="95"/>
    </row>
    <row r="69" spans="2:13" x14ac:dyDescent="0.25">
      <c r="B69" s="30" t="s">
        <v>341</v>
      </c>
      <c r="C69" s="39"/>
      <c r="D69" s="42"/>
      <c r="E69" s="42" t="s">
        <v>56</v>
      </c>
      <c r="F69" s="40"/>
      <c r="G69" s="40"/>
      <c r="H69" s="40"/>
      <c r="I69" s="41"/>
      <c r="J69" s="99" t="s">
        <v>50</v>
      </c>
      <c r="K69" s="100"/>
      <c r="L69" s="94"/>
      <c r="M69" s="95"/>
    </row>
    <row r="70" spans="2:13" x14ac:dyDescent="0.25">
      <c r="B70" s="30"/>
      <c r="C70" s="39"/>
      <c r="D70" s="42" t="s">
        <v>57</v>
      </c>
      <c r="E70" s="40"/>
      <c r="F70" s="40"/>
      <c r="G70" s="40"/>
      <c r="H70" s="40"/>
      <c r="I70" s="41"/>
      <c r="J70" s="99"/>
      <c r="K70" s="100"/>
      <c r="L70" s="94"/>
      <c r="M70" s="95"/>
    </row>
    <row r="71" spans="2:13" x14ac:dyDescent="0.25">
      <c r="B71" s="30" t="s">
        <v>342</v>
      </c>
      <c r="C71" s="39"/>
      <c r="D71" s="42"/>
      <c r="E71" s="42" t="s">
        <v>53</v>
      </c>
      <c r="F71" s="40"/>
      <c r="G71" s="40"/>
      <c r="H71" s="40"/>
      <c r="I71" s="41"/>
      <c r="J71" s="99" t="s">
        <v>50</v>
      </c>
      <c r="K71" s="100"/>
      <c r="L71" s="94"/>
      <c r="M71" s="95"/>
    </row>
    <row r="72" spans="2:13" x14ac:dyDescent="0.25">
      <c r="B72" s="30" t="s">
        <v>343</v>
      </c>
      <c r="C72" s="39"/>
      <c r="D72" s="42"/>
      <c r="E72" s="42" t="s">
        <v>54</v>
      </c>
      <c r="F72" s="40"/>
      <c r="G72" s="40"/>
      <c r="H72" s="40"/>
      <c r="I72" s="41"/>
      <c r="J72" s="99" t="s">
        <v>50</v>
      </c>
      <c r="K72" s="100"/>
      <c r="L72" s="94">
        <v>10.54</v>
      </c>
      <c r="M72" s="95"/>
    </row>
    <row r="73" spans="2:13" x14ac:dyDescent="0.25">
      <c r="B73" s="30" t="s">
        <v>344</v>
      </c>
      <c r="C73" s="39"/>
      <c r="D73" s="42"/>
      <c r="E73" s="42" t="s">
        <v>55</v>
      </c>
      <c r="F73" s="40"/>
      <c r="G73" s="40"/>
      <c r="H73" s="40"/>
      <c r="I73" s="41"/>
      <c r="J73" s="99" t="s">
        <v>50</v>
      </c>
      <c r="K73" s="100"/>
      <c r="L73" s="94"/>
      <c r="M73" s="95"/>
    </row>
    <row r="74" spans="2:13" x14ac:dyDescent="0.25">
      <c r="B74" s="30" t="s">
        <v>345</v>
      </c>
      <c r="C74" s="39"/>
      <c r="D74" s="42"/>
      <c r="E74" s="42" t="s">
        <v>56</v>
      </c>
      <c r="F74" s="40"/>
      <c r="G74" s="40"/>
      <c r="H74" s="40"/>
      <c r="I74" s="41"/>
      <c r="J74" s="99" t="s">
        <v>50</v>
      </c>
      <c r="K74" s="100"/>
      <c r="L74" s="94"/>
      <c r="M74" s="95"/>
    </row>
    <row r="75" spans="2:13" x14ac:dyDescent="0.25">
      <c r="B75" s="19"/>
      <c r="C75" s="47" t="s">
        <v>106</v>
      </c>
      <c r="D75" s="42"/>
      <c r="E75" s="42"/>
      <c r="F75" s="40"/>
      <c r="G75" s="40"/>
      <c r="H75" s="40"/>
      <c r="I75" s="41"/>
      <c r="J75" s="43"/>
      <c r="K75" s="44"/>
      <c r="L75" s="94"/>
      <c r="M75" s="95"/>
    </row>
    <row r="76" spans="2:13" x14ac:dyDescent="0.25">
      <c r="B76" s="19" t="s">
        <v>338</v>
      </c>
      <c r="C76" s="39"/>
      <c r="D76" s="42" t="s">
        <v>107</v>
      </c>
      <c r="E76" s="42"/>
      <c r="F76" s="40"/>
      <c r="G76" s="40"/>
      <c r="H76" s="40"/>
      <c r="I76" s="41"/>
      <c r="J76" s="99" t="s">
        <v>50</v>
      </c>
      <c r="K76" s="100"/>
      <c r="L76" s="94"/>
      <c r="M76" s="95"/>
    </row>
    <row r="77" spans="2:13" x14ac:dyDescent="0.25">
      <c r="B77" s="19" t="s">
        <v>346</v>
      </c>
      <c r="C77" s="39"/>
      <c r="D77" s="42" t="s">
        <v>108</v>
      </c>
      <c r="E77" s="42"/>
      <c r="F77" s="40"/>
      <c r="G77" s="40"/>
      <c r="H77" s="40"/>
      <c r="I77" s="41"/>
      <c r="J77" s="99" t="s">
        <v>50</v>
      </c>
      <c r="K77" s="100"/>
      <c r="L77" s="94">
        <f>86.16+102.45</f>
        <v>188.61</v>
      </c>
      <c r="M77" s="95"/>
    </row>
    <row r="78" spans="2:13" x14ac:dyDescent="0.25">
      <c r="B78" s="19" t="s">
        <v>347</v>
      </c>
      <c r="C78" s="39"/>
      <c r="D78" s="42" t="s">
        <v>333</v>
      </c>
      <c r="E78" s="42"/>
      <c r="F78" s="40"/>
      <c r="G78" s="40"/>
      <c r="H78" s="40"/>
      <c r="I78" s="41"/>
      <c r="J78" s="99" t="s">
        <v>50</v>
      </c>
      <c r="K78" s="100"/>
      <c r="L78" s="94">
        <f>15.07+60.39</f>
        <v>75.460000000000008</v>
      </c>
      <c r="M78" s="95"/>
    </row>
    <row r="79" spans="2:13" x14ac:dyDescent="0.25">
      <c r="B79" s="19"/>
      <c r="C79" s="47" t="s">
        <v>109</v>
      </c>
      <c r="D79" s="42"/>
      <c r="E79" s="42"/>
      <c r="F79" s="40"/>
      <c r="G79" s="40"/>
      <c r="H79" s="40"/>
      <c r="I79" s="41"/>
      <c r="J79" s="43"/>
      <c r="K79" s="44"/>
      <c r="L79" s="94"/>
      <c r="M79" s="95"/>
    </row>
    <row r="80" spans="2:13" x14ac:dyDescent="0.25">
      <c r="B80" s="19"/>
      <c r="C80" s="39"/>
      <c r="D80" s="42" t="s">
        <v>52</v>
      </c>
      <c r="E80" s="42"/>
      <c r="F80" s="40"/>
      <c r="G80" s="40"/>
      <c r="H80" s="40"/>
      <c r="I80" s="41"/>
      <c r="J80" s="43"/>
      <c r="K80" s="44"/>
      <c r="L80" s="94"/>
      <c r="M80" s="95"/>
    </row>
    <row r="81" spans="2:13" x14ac:dyDescent="0.25">
      <c r="B81" s="19" t="s">
        <v>348</v>
      </c>
      <c r="C81" s="39"/>
      <c r="D81" s="42"/>
      <c r="E81" s="42" t="s">
        <v>107</v>
      </c>
      <c r="F81" s="40"/>
      <c r="G81" s="40"/>
      <c r="H81" s="40"/>
      <c r="I81" s="41"/>
      <c r="J81" s="99" t="s">
        <v>50</v>
      </c>
      <c r="K81" s="100"/>
      <c r="L81" s="94"/>
      <c r="M81" s="95"/>
    </row>
    <row r="82" spans="2:13" x14ac:dyDescent="0.25">
      <c r="B82" s="19" t="s">
        <v>349</v>
      </c>
      <c r="C82" s="39"/>
      <c r="D82" s="42"/>
      <c r="E82" s="42" t="s">
        <v>108</v>
      </c>
      <c r="F82" s="40"/>
      <c r="G82" s="40"/>
      <c r="H82" s="40"/>
      <c r="I82" s="41"/>
      <c r="J82" s="99" t="s">
        <v>50</v>
      </c>
      <c r="K82" s="100"/>
      <c r="L82" s="94">
        <v>86.16</v>
      </c>
      <c r="M82" s="95"/>
    </row>
    <row r="83" spans="2:13" x14ac:dyDescent="0.25">
      <c r="B83" s="19"/>
      <c r="C83" s="39"/>
      <c r="D83" s="42" t="s">
        <v>57</v>
      </c>
      <c r="E83" s="42"/>
      <c r="F83" s="40"/>
      <c r="G83" s="40"/>
      <c r="H83" s="40"/>
      <c r="I83" s="41"/>
      <c r="J83" s="43"/>
      <c r="K83" s="44"/>
      <c r="L83" s="94"/>
      <c r="M83" s="95"/>
    </row>
    <row r="84" spans="2:13" x14ac:dyDescent="0.25">
      <c r="B84" s="19" t="s">
        <v>350</v>
      </c>
      <c r="C84" s="39"/>
      <c r="D84" s="42"/>
      <c r="E84" s="42" t="s">
        <v>107</v>
      </c>
      <c r="F84" s="40"/>
      <c r="G84" s="40"/>
      <c r="H84" s="40"/>
      <c r="I84" s="41"/>
      <c r="J84" s="99" t="s">
        <v>50</v>
      </c>
      <c r="K84" s="100"/>
      <c r="L84" s="94"/>
      <c r="M84" s="95"/>
    </row>
    <row r="85" spans="2:13" x14ac:dyDescent="0.25">
      <c r="B85" s="19" t="s">
        <v>351</v>
      </c>
      <c r="C85" s="39"/>
      <c r="D85" s="42"/>
      <c r="E85" s="42" t="s">
        <v>108</v>
      </c>
      <c r="F85" s="40"/>
      <c r="G85" s="40"/>
      <c r="H85" s="40"/>
      <c r="I85" s="41"/>
      <c r="J85" s="99" t="s">
        <v>50</v>
      </c>
      <c r="K85" s="100"/>
      <c r="L85" s="94"/>
      <c r="M85" s="95"/>
    </row>
    <row r="86" spans="2:13" x14ac:dyDescent="0.25">
      <c r="B86" s="19" t="s">
        <v>352</v>
      </c>
      <c r="C86" s="47" t="s">
        <v>353</v>
      </c>
      <c r="D86" s="42"/>
      <c r="E86" s="42"/>
      <c r="F86" s="40"/>
      <c r="G86" s="40"/>
      <c r="H86" s="40"/>
      <c r="I86" s="41"/>
      <c r="J86" s="99" t="s">
        <v>50</v>
      </c>
      <c r="K86" s="100"/>
      <c r="L86" s="94">
        <f>(213.83+84.84)</f>
        <v>298.67</v>
      </c>
      <c r="M86" s="95"/>
    </row>
    <row r="87" spans="2:13" x14ac:dyDescent="0.25">
      <c r="B87" s="19" t="s">
        <v>354</v>
      </c>
      <c r="C87" s="96" t="s">
        <v>357</v>
      </c>
      <c r="D87" s="97"/>
      <c r="E87" s="97"/>
      <c r="F87" s="97"/>
      <c r="G87" s="97"/>
      <c r="H87" s="97"/>
      <c r="I87" s="98"/>
      <c r="J87" s="99" t="s">
        <v>50</v>
      </c>
      <c r="K87" s="100"/>
      <c r="L87" s="94">
        <f>52.88+94.71</f>
        <v>147.59</v>
      </c>
      <c r="M87" s="95"/>
    </row>
    <row r="88" spans="2:13" x14ac:dyDescent="0.25">
      <c r="B88" s="19" t="s">
        <v>389</v>
      </c>
      <c r="C88" s="96" t="s">
        <v>480</v>
      </c>
      <c r="D88" s="97"/>
      <c r="E88" s="97"/>
      <c r="F88" s="97"/>
      <c r="G88" s="97"/>
      <c r="H88" s="97"/>
      <c r="I88" s="98"/>
      <c r="J88" s="99" t="s">
        <v>50</v>
      </c>
      <c r="K88" s="100"/>
      <c r="L88" s="94">
        <v>114.12</v>
      </c>
      <c r="M88" s="95"/>
    </row>
    <row r="89" spans="2:13" x14ac:dyDescent="0.25">
      <c r="B89" s="19"/>
      <c r="C89" s="96"/>
      <c r="D89" s="97"/>
      <c r="E89" s="97"/>
      <c r="F89" s="97"/>
      <c r="G89" s="97"/>
      <c r="H89" s="97"/>
      <c r="I89" s="98"/>
      <c r="J89" s="43"/>
      <c r="K89" s="44"/>
      <c r="L89" s="94"/>
      <c r="M89" s="95"/>
    </row>
    <row r="90" spans="2:13" x14ac:dyDescent="0.25">
      <c r="B90" s="19"/>
      <c r="C90" s="96" t="s">
        <v>610</v>
      </c>
      <c r="D90" s="97"/>
      <c r="E90" s="97"/>
      <c r="F90" s="97"/>
      <c r="G90" s="97"/>
      <c r="H90" s="97"/>
      <c r="I90" s="98"/>
      <c r="J90" s="43"/>
      <c r="K90" s="44"/>
      <c r="L90" s="94"/>
      <c r="M90" s="95"/>
    </row>
    <row r="91" spans="2:13" x14ac:dyDescent="0.25">
      <c r="B91" s="19" t="s">
        <v>623</v>
      </c>
      <c r="C91" s="39"/>
      <c r="D91" s="42" t="s">
        <v>611</v>
      </c>
      <c r="E91" s="42"/>
      <c r="F91" s="40"/>
      <c r="G91" s="40"/>
      <c r="H91" s="40"/>
      <c r="I91" s="41"/>
      <c r="J91" s="43" t="s">
        <v>586</v>
      </c>
      <c r="K91" s="44"/>
      <c r="L91" s="94"/>
      <c r="M91" s="95"/>
    </row>
    <row r="92" spans="2:13" x14ac:dyDescent="0.25">
      <c r="B92" s="19" t="s">
        <v>624</v>
      </c>
      <c r="C92" s="39"/>
      <c r="D92" s="42" t="s">
        <v>612</v>
      </c>
      <c r="E92" s="42"/>
      <c r="F92" s="40"/>
      <c r="G92" s="40"/>
      <c r="H92" s="40"/>
      <c r="I92" s="41"/>
      <c r="J92" s="43" t="s">
        <v>586</v>
      </c>
      <c r="K92" s="44"/>
      <c r="L92" s="94">
        <v>2</v>
      </c>
      <c r="M92" s="95"/>
    </row>
    <row r="93" spans="2:13" x14ac:dyDescent="0.25">
      <c r="B93" s="19" t="s">
        <v>625</v>
      </c>
      <c r="C93" s="39"/>
      <c r="D93" s="42" t="s">
        <v>613</v>
      </c>
      <c r="E93" s="42"/>
      <c r="F93" s="40"/>
      <c r="G93" s="40"/>
      <c r="H93" s="40"/>
      <c r="I93" s="41"/>
      <c r="J93" s="43" t="s">
        <v>586</v>
      </c>
      <c r="K93" s="44"/>
      <c r="L93" s="94">
        <v>7</v>
      </c>
      <c r="M93" s="95"/>
    </row>
    <row r="94" spans="2:13" x14ac:dyDescent="0.25">
      <c r="B94" s="19" t="s">
        <v>626</v>
      </c>
      <c r="C94" s="39"/>
      <c r="D94" s="42" t="s">
        <v>614</v>
      </c>
      <c r="E94" s="42"/>
      <c r="F94" s="40"/>
      <c r="G94" s="40"/>
      <c r="H94" s="40"/>
      <c r="I94" s="41"/>
      <c r="J94" s="43" t="s">
        <v>586</v>
      </c>
      <c r="K94" s="44"/>
      <c r="L94" s="94">
        <v>2</v>
      </c>
      <c r="M94" s="95"/>
    </row>
    <row r="95" spans="2:13" x14ac:dyDescent="0.25">
      <c r="B95" s="19" t="s">
        <v>627</v>
      </c>
      <c r="C95" s="39"/>
      <c r="D95" s="42" t="s">
        <v>615</v>
      </c>
      <c r="E95" s="42"/>
      <c r="F95" s="40"/>
      <c r="G95" s="40"/>
      <c r="H95" s="40"/>
      <c r="I95" s="41"/>
      <c r="J95" s="43" t="s">
        <v>586</v>
      </c>
      <c r="K95" s="44"/>
      <c r="L95" s="94">
        <v>1</v>
      </c>
      <c r="M95" s="95"/>
    </row>
    <row r="96" spans="2:13" x14ac:dyDescent="0.25">
      <c r="B96" s="19" t="s">
        <v>628</v>
      </c>
      <c r="C96" s="39"/>
      <c r="D96" s="42" t="s">
        <v>616</v>
      </c>
      <c r="E96" s="42"/>
      <c r="F96" s="40"/>
      <c r="G96" s="40"/>
      <c r="H96" s="40"/>
      <c r="I96" s="41"/>
      <c r="J96" s="43" t="s">
        <v>5</v>
      </c>
      <c r="K96" s="44"/>
      <c r="L96" s="94">
        <v>20.43</v>
      </c>
      <c r="M96" s="95"/>
    </row>
    <row r="97" spans="2:13" x14ac:dyDescent="0.25">
      <c r="B97" s="19" t="s">
        <v>629</v>
      </c>
      <c r="C97" s="39"/>
      <c r="D97" s="42" t="s">
        <v>617</v>
      </c>
      <c r="E97" s="42"/>
      <c r="F97" s="40"/>
      <c r="G97" s="40"/>
      <c r="H97" s="40"/>
      <c r="I97" s="41"/>
      <c r="J97" s="43" t="s">
        <v>5</v>
      </c>
      <c r="K97" s="44"/>
      <c r="L97" s="94">
        <v>11.04</v>
      </c>
      <c r="M97" s="95"/>
    </row>
    <row r="98" spans="2:13" x14ac:dyDescent="0.25">
      <c r="B98" s="19" t="s">
        <v>630</v>
      </c>
      <c r="C98" s="39"/>
      <c r="D98" s="42" t="s">
        <v>618</v>
      </c>
      <c r="E98" s="42"/>
      <c r="F98" s="40"/>
      <c r="G98" s="40"/>
      <c r="H98" s="40"/>
      <c r="I98" s="41"/>
      <c r="J98" s="43" t="s">
        <v>5</v>
      </c>
      <c r="K98" s="44"/>
      <c r="L98" s="94">
        <v>9.39</v>
      </c>
      <c r="M98" s="95"/>
    </row>
    <row r="99" spans="2:13" x14ac:dyDescent="0.25">
      <c r="B99" s="19" t="s">
        <v>631</v>
      </c>
      <c r="C99" s="39"/>
      <c r="D99" s="42" t="s">
        <v>619</v>
      </c>
      <c r="E99" s="42"/>
      <c r="F99" s="40"/>
      <c r="G99" s="40"/>
      <c r="H99" s="40"/>
      <c r="I99" s="41"/>
      <c r="J99" s="43" t="s">
        <v>5</v>
      </c>
      <c r="K99" s="44"/>
      <c r="L99" s="94">
        <v>58.14</v>
      </c>
      <c r="M99" s="95"/>
    </row>
    <row r="100" spans="2:13" x14ac:dyDescent="0.25">
      <c r="B100" s="19" t="s">
        <v>632</v>
      </c>
      <c r="C100" s="39"/>
      <c r="D100" s="42" t="s">
        <v>620</v>
      </c>
      <c r="E100" s="42"/>
      <c r="F100" s="40"/>
      <c r="G100" s="40"/>
      <c r="H100" s="40"/>
      <c r="I100" s="41"/>
      <c r="J100" s="43" t="s">
        <v>5</v>
      </c>
      <c r="K100" s="44"/>
      <c r="L100" s="94">
        <v>8.64</v>
      </c>
      <c r="M100" s="95"/>
    </row>
    <row r="101" spans="2:13" x14ac:dyDescent="0.25">
      <c r="B101" s="19" t="s">
        <v>633</v>
      </c>
      <c r="C101" s="39"/>
      <c r="D101" s="42" t="s">
        <v>621</v>
      </c>
      <c r="E101" s="42"/>
      <c r="F101" s="40"/>
      <c r="G101" s="40"/>
      <c r="H101" s="40"/>
      <c r="I101" s="41"/>
      <c r="J101" s="43" t="s">
        <v>5</v>
      </c>
      <c r="K101" s="44"/>
      <c r="L101" s="94">
        <v>9.39</v>
      </c>
      <c r="M101" s="95"/>
    </row>
    <row r="102" spans="2:13" x14ac:dyDescent="0.25">
      <c r="B102" s="19" t="s">
        <v>634</v>
      </c>
      <c r="C102" s="39"/>
      <c r="D102" s="42" t="s">
        <v>622</v>
      </c>
      <c r="E102" s="42"/>
      <c r="F102" s="40"/>
      <c r="G102" s="40"/>
      <c r="H102" s="40"/>
      <c r="I102" s="41"/>
      <c r="J102" s="43" t="s">
        <v>5</v>
      </c>
      <c r="K102" s="44"/>
      <c r="L102" s="94">
        <v>27.54</v>
      </c>
      <c r="M102" s="95"/>
    </row>
    <row r="103" spans="2:13" x14ac:dyDescent="0.25">
      <c r="B103" s="31"/>
      <c r="C103" s="96"/>
      <c r="D103" s="97"/>
      <c r="E103" s="97"/>
      <c r="F103" s="97"/>
      <c r="G103" s="97"/>
      <c r="H103" s="97"/>
      <c r="I103" s="98"/>
      <c r="J103" s="99"/>
      <c r="K103" s="100"/>
      <c r="L103" s="94"/>
      <c r="M103" s="95"/>
    </row>
    <row r="104" spans="2:13" ht="15" customHeight="1" x14ac:dyDescent="0.25"/>
  </sheetData>
  <mergeCells count="194">
    <mergeCell ref="L99:M99"/>
    <mergeCell ref="J59:K59"/>
    <mergeCell ref="L59:M59"/>
    <mergeCell ref="J60:K60"/>
    <mergeCell ref="L60:M60"/>
    <mergeCell ref="J65:K65"/>
    <mergeCell ref="L65:M65"/>
    <mergeCell ref="C60:I60"/>
    <mergeCell ref="C89:I89"/>
    <mergeCell ref="C90:I90"/>
    <mergeCell ref="L89:M89"/>
    <mergeCell ref="L90:M90"/>
    <mergeCell ref="C103:I103"/>
    <mergeCell ref="J103:K103"/>
    <mergeCell ref="L103:M103"/>
    <mergeCell ref="J66:K66"/>
    <mergeCell ref="L66:M66"/>
    <mergeCell ref="J67:K67"/>
    <mergeCell ref="L67:M67"/>
    <mergeCell ref="J69:K69"/>
    <mergeCell ref="L69:M69"/>
    <mergeCell ref="L91:M91"/>
    <mergeCell ref="L100:M100"/>
    <mergeCell ref="L101:M101"/>
    <mergeCell ref="L102:M102"/>
    <mergeCell ref="L92:M92"/>
    <mergeCell ref="L93:M93"/>
    <mergeCell ref="L94:M94"/>
    <mergeCell ref="L95:M95"/>
    <mergeCell ref="L96:M96"/>
    <mergeCell ref="L97:M97"/>
    <mergeCell ref="L98:M98"/>
    <mergeCell ref="B4:B6"/>
    <mergeCell ref="J4:K5"/>
    <mergeCell ref="L4:M5"/>
    <mergeCell ref="J7:K7"/>
    <mergeCell ref="L7:M7"/>
    <mergeCell ref="J8:K8"/>
    <mergeCell ref="L8:M8"/>
    <mergeCell ref="C7:I7"/>
    <mergeCell ref="C8:I8"/>
    <mergeCell ref="J6:K6"/>
    <mergeCell ref="L6:M6"/>
    <mergeCell ref="C4:I6"/>
    <mergeCell ref="J12:K12"/>
    <mergeCell ref="C12:I12"/>
    <mergeCell ref="J10:K10"/>
    <mergeCell ref="L10:M10"/>
    <mergeCell ref="J11:K11"/>
    <mergeCell ref="L11:M11"/>
    <mergeCell ref="C10:I10"/>
    <mergeCell ref="C11:I11"/>
    <mergeCell ref="L12:M12"/>
    <mergeCell ref="C9:I9"/>
    <mergeCell ref="J9:K9"/>
    <mergeCell ref="L9:M9"/>
    <mergeCell ref="C64:I64"/>
    <mergeCell ref="J64:K64"/>
    <mergeCell ref="L64:M64"/>
    <mergeCell ref="J70:K70"/>
    <mergeCell ref="L70:M70"/>
    <mergeCell ref="J71:K71"/>
    <mergeCell ref="L71:M71"/>
    <mergeCell ref="J72:K72"/>
    <mergeCell ref="L72:M72"/>
    <mergeCell ref="J68:K68"/>
    <mergeCell ref="L68:M68"/>
    <mergeCell ref="J84:K84"/>
    <mergeCell ref="J85:K85"/>
    <mergeCell ref="L75:M75"/>
    <mergeCell ref="L76:M76"/>
    <mergeCell ref="L77:M77"/>
    <mergeCell ref="L80:M80"/>
    <mergeCell ref="L81:M81"/>
    <mergeCell ref="L82:M82"/>
    <mergeCell ref="L83:M83"/>
    <mergeCell ref="L84:M84"/>
    <mergeCell ref="L85:M85"/>
    <mergeCell ref="J76:K76"/>
    <mergeCell ref="J77:K77"/>
    <mergeCell ref="J81:K81"/>
    <mergeCell ref="J82:K82"/>
    <mergeCell ref="L79:M79"/>
    <mergeCell ref="J78:K78"/>
    <mergeCell ref="L78:M78"/>
    <mergeCell ref="L30:M30"/>
    <mergeCell ref="L31:M31"/>
    <mergeCell ref="L32:M32"/>
    <mergeCell ref="L33:M33"/>
    <mergeCell ref="L34:M34"/>
    <mergeCell ref="L35:M35"/>
    <mergeCell ref="L36:M36"/>
    <mergeCell ref="L37:M37"/>
    <mergeCell ref="L39:M39"/>
    <mergeCell ref="L40:M40"/>
    <mergeCell ref="L74:M74"/>
    <mergeCell ref="J48:K48"/>
    <mergeCell ref="L48:M48"/>
    <mergeCell ref="J37:K37"/>
    <mergeCell ref="J73:K73"/>
    <mergeCell ref="L73:M73"/>
    <mergeCell ref="J74:K74"/>
    <mergeCell ref="L62:M62"/>
    <mergeCell ref="J61:K61"/>
    <mergeCell ref="L61:M61"/>
    <mergeCell ref="J62:K62"/>
    <mergeCell ref="L41:M41"/>
    <mergeCell ref="J19:K19"/>
    <mergeCell ref="L19:M19"/>
    <mergeCell ref="J20:K20"/>
    <mergeCell ref="L20:M20"/>
    <mergeCell ref="C13:I13"/>
    <mergeCell ref="C17:I17"/>
    <mergeCell ref="J17:K17"/>
    <mergeCell ref="L17:M17"/>
    <mergeCell ref="J18:K18"/>
    <mergeCell ref="L18:M18"/>
    <mergeCell ref="C16:I16"/>
    <mergeCell ref="J16:K16"/>
    <mergeCell ref="L16:M16"/>
    <mergeCell ref="J13:K13"/>
    <mergeCell ref="L13:M13"/>
    <mergeCell ref="J21:K21"/>
    <mergeCell ref="L21:M21"/>
    <mergeCell ref="C88:I88"/>
    <mergeCell ref="C30:I30"/>
    <mergeCell ref="L22:M22"/>
    <mergeCell ref="L23:M23"/>
    <mergeCell ref="L24:M24"/>
    <mergeCell ref="L25:M25"/>
    <mergeCell ref="L26:M26"/>
    <mergeCell ref="L27:M27"/>
    <mergeCell ref="L28:M28"/>
    <mergeCell ref="L29:M29"/>
    <mergeCell ref="L46:M46"/>
    <mergeCell ref="L47:M47"/>
    <mergeCell ref="C87:I87"/>
    <mergeCell ref="J87:K87"/>
    <mergeCell ref="L87:M87"/>
    <mergeCell ref="J88:K88"/>
    <mergeCell ref="J49:K49"/>
    <mergeCell ref="J50:K50"/>
    <mergeCell ref="J51:K51"/>
    <mergeCell ref="J52:K52"/>
    <mergeCell ref="J53:K53"/>
    <mergeCell ref="J54:K54"/>
    <mergeCell ref="L88:M88"/>
    <mergeCell ref="J22:K22"/>
    <mergeCell ref="J23:K23"/>
    <mergeCell ref="J24:K24"/>
    <mergeCell ref="J26:K26"/>
    <mergeCell ref="J27:K27"/>
    <mergeCell ref="J28:K28"/>
    <mergeCell ref="J29:K29"/>
    <mergeCell ref="J34:K34"/>
    <mergeCell ref="J35:K35"/>
    <mergeCell ref="J36:K36"/>
    <mergeCell ref="J39:K39"/>
    <mergeCell ref="J40:K40"/>
    <mergeCell ref="J41:K41"/>
    <mergeCell ref="J42:K42"/>
    <mergeCell ref="J43:K43"/>
    <mergeCell ref="J55:K55"/>
    <mergeCell ref="J56:K56"/>
    <mergeCell ref="J57:K57"/>
    <mergeCell ref="J58:K58"/>
    <mergeCell ref="J86:K86"/>
    <mergeCell ref="L86:M86"/>
    <mergeCell ref="J63:K63"/>
    <mergeCell ref="L63:M63"/>
    <mergeCell ref="L58:M58"/>
    <mergeCell ref="C59:I59"/>
    <mergeCell ref="C14:I14"/>
    <mergeCell ref="J14:K14"/>
    <mergeCell ref="L14:M14"/>
    <mergeCell ref="C15:I15"/>
    <mergeCell ref="J15:K15"/>
    <mergeCell ref="L15:M15"/>
    <mergeCell ref="L53:M53"/>
    <mergeCell ref="L54:M54"/>
    <mergeCell ref="L55:M55"/>
    <mergeCell ref="L56:M56"/>
    <mergeCell ref="L57:M57"/>
    <mergeCell ref="L45:M45"/>
    <mergeCell ref="L49:M49"/>
    <mergeCell ref="L50:M50"/>
    <mergeCell ref="L51:M51"/>
    <mergeCell ref="L52:M52"/>
    <mergeCell ref="L42:M42"/>
    <mergeCell ref="L43:M43"/>
    <mergeCell ref="J44:K44"/>
    <mergeCell ref="J38:K38"/>
    <mergeCell ref="L38:M38"/>
    <mergeCell ref="L44:M44"/>
  </mergeCells>
  <phoneticPr fontId="11" type="noConversion"/>
  <conditionalFormatting sqref="L65:M66 L7:M11 L86:M88 L13:M13 L16:M60 L103:M103">
    <cfRule type="cellIs" dxfId="13" priority="37" operator="greaterThan">
      <formula>0</formula>
    </cfRule>
  </conditionalFormatting>
  <conditionalFormatting sqref="L67:M67">
    <cfRule type="cellIs" dxfId="12" priority="22" operator="greaterThan">
      <formula>0</formula>
    </cfRule>
  </conditionalFormatting>
  <conditionalFormatting sqref="L64:M64">
    <cfRule type="cellIs" dxfId="11" priority="19" operator="greaterThan">
      <formula>0</formula>
    </cfRule>
  </conditionalFormatting>
  <conditionalFormatting sqref="L61:M61">
    <cfRule type="cellIs" dxfId="10" priority="18" operator="greaterThan">
      <formula>0</formula>
    </cfRule>
  </conditionalFormatting>
  <conditionalFormatting sqref="L68:M69">
    <cfRule type="cellIs" dxfId="9" priority="17" operator="greaterThan">
      <formula>0</formula>
    </cfRule>
  </conditionalFormatting>
  <conditionalFormatting sqref="L70:M71">
    <cfRule type="cellIs" dxfId="8" priority="14" operator="greaterThan">
      <formula>0</formula>
    </cfRule>
  </conditionalFormatting>
  <conditionalFormatting sqref="L72:M72">
    <cfRule type="cellIs" dxfId="7" priority="13" operator="greaterThan">
      <formula>0</formula>
    </cfRule>
  </conditionalFormatting>
  <conditionalFormatting sqref="L73:M77 L79:M85">
    <cfRule type="cellIs" dxfId="6" priority="12" operator="greaterThan">
      <formula>0</formula>
    </cfRule>
  </conditionalFormatting>
  <conditionalFormatting sqref="L12:M12">
    <cfRule type="cellIs" dxfId="5" priority="10" operator="greaterThan">
      <formula>0</formula>
    </cfRule>
  </conditionalFormatting>
  <conditionalFormatting sqref="L62:M63">
    <cfRule type="cellIs" dxfId="4" priority="8" operator="greaterThan">
      <formula>0</formula>
    </cfRule>
  </conditionalFormatting>
  <conditionalFormatting sqref="L78:M78">
    <cfRule type="cellIs" dxfId="3" priority="7" operator="greaterThan">
      <formula>0</formula>
    </cfRule>
  </conditionalFormatting>
  <conditionalFormatting sqref="L14:M14">
    <cfRule type="cellIs" dxfId="2" priority="3" operator="greaterThan">
      <formula>0</formula>
    </cfRule>
  </conditionalFormatting>
  <conditionalFormatting sqref="L15:M15">
    <cfRule type="cellIs" dxfId="1" priority="2" operator="greaterThan">
      <formula>0</formula>
    </cfRule>
  </conditionalFormatting>
  <conditionalFormatting sqref="L89:M102">
    <cfRule type="cellIs" dxfId="0" priority="1" operator="greaterThan">
      <formula>0</formula>
    </cfRule>
  </conditionalFormatting>
  <pageMargins left="0.43307086614173229" right="0.23622047244094491" top="1.3385826771653544" bottom="0.74803149606299213" header="0.31496062992125984" footer="0.31496062992125984"/>
  <pageSetup paperSize="9" scale="94" fitToHeight="0" orientation="portrait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A3_Vodorovne konstrukce</vt:lpstr>
      <vt:lpstr>A3_Skladane stropy</vt:lpstr>
      <vt:lpstr>A3_Prefa stropy</vt:lpstr>
      <vt:lpstr>A3_Rekapitulace</vt:lpstr>
      <vt:lpstr>'A3_Prefa stropy'!Názvy_tisku</vt:lpstr>
      <vt:lpstr>'A3_Skladane stropy'!Názvy_tisku</vt:lpstr>
      <vt:lpstr>'A3_Vodorovne konstrukce'!Názvy_tisku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Štefan Sivák</dc:creator>
  <cp:keywords/>
  <dc:description/>
  <cp:lastModifiedBy>Štefan Sivák</cp:lastModifiedBy>
  <cp:revision/>
  <cp:lastPrinted>2021-06-21T11:41:04Z</cp:lastPrinted>
  <dcterms:created xsi:type="dcterms:W3CDTF">2017-10-24T07:38:10Z</dcterms:created>
  <dcterms:modified xsi:type="dcterms:W3CDTF">2021-06-21T16:44:16Z</dcterms:modified>
  <cp:category/>
  <cp:contentStatus/>
</cp:coreProperties>
</file>